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510" tabRatio="250" activeTab="0"/>
  </bookViews>
  <sheets>
    <sheet name="Resultat" sheetId="1" r:id="rId1"/>
  </sheets>
  <definedNames>
    <definedName name="BokstavsplockSorterat">'Resultat'!$M$206:$M$212</definedName>
    <definedName name="FotoplockSorterat">'Resultat'!$L$206:$L$212</definedName>
    <definedName name="FörklaringarSorterat">'Resultat'!$G$206:$G$212</definedName>
    <definedName name="KlippTotaltSorterat">'Resultat'!$K$206:$K$212</definedName>
    <definedName name="KodSorterat">'Resultat'!$H$206:$H$212</definedName>
    <definedName name="KoordinatklippSorterat">'Resultat'!$I$206:$I$212</definedName>
    <definedName name="Lag_I_Nummerordning">'Resultat'!$B$206:$B$212</definedName>
    <definedName name="LagSorterat">'Resultat'!#REF!</definedName>
    <definedName name="LiftareSorterat">'Resultat'!$Q$206:$Q$212</definedName>
    <definedName name="LunchlekarSorterat">'Resultat'!$D$206:$D$212</definedName>
    <definedName name="LösningsklippSorterat">'Resultat'!$J$206:$J$212</definedName>
    <definedName name="ManöverprovSorterat">'Resultat'!$E$206:$E$212</definedName>
    <definedName name="Placeringar">'Resultat'!$A$206:$A$212</definedName>
    <definedName name="PlockTotaltSorterat">'Resultat'!$N$206:$N$212</definedName>
    <definedName name="Prickar_I_Lagordning">'Resultat'!$C$199:$C$199</definedName>
    <definedName name="PrickarBokstavsplock">'Resultat'!$C$169:$I$169</definedName>
    <definedName name="PrickarFotoplock">'Resultat'!$C$162:$I$162</definedName>
    <definedName name="PrickarFörklaringar">'Resultat'!$C$137:$I$137</definedName>
    <definedName name="PrickarJustering">'Resultat'!$C$181:$I$181</definedName>
    <definedName name="PrickarKlippTotalt">'Resultat'!$C$154:$I$154</definedName>
    <definedName name="PrickarKod">'Resultat'!$C$141:$I$141</definedName>
    <definedName name="PrickarKoordinatklipp">'Resultat'!$C$146:$I$146</definedName>
    <definedName name="PrickarLiftare">'Resultat'!$C$175:$I$175</definedName>
    <definedName name="PrickarLunchlekar">'Resultat'!$C$119:$I$119</definedName>
    <definedName name="PrickarLösningsklipp">'Resultat'!$C$150:$I$150</definedName>
    <definedName name="PrickarManöverprov">'Resultat'!$C$128:$I$128</definedName>
    <definedName name="PrickarPlockTotalt">'Resultat'!$C$178:$I$178</definedName>
    <definedName name="PrickarPyssel">'Resultat'!$C$125:$I$125</definedName>
    <definedName name="PrickarTid">'Resultat'!$C$134:$I$134</definedName>
    <definedName name="PrickarTotalt">'Resultat'!$C$186:$I$186</definedName>
    <definedName name="PysselSorterat">'Resultat'!$P$206:$P$212</definedName>
    <definedName name="Rebuspoäng">'Resultat'!$C$89:$I$89</definedName>
    <definedName name="RebuspoängSorterat">'Resultat'!$O$206:$O$212</definedName>
    <definedName name="SlutplaceringSorterat">'Resultat'!$C$206:$C$212</definedName>
    <definedName name="TidsprickarSorterat">'Resultat'!$F$206:$F$212</definedName>
    <definedName name="_xlnm.Print_Area" localSheetId="0">'Resultat'!$A$1:$I$200</definedName>
  </definedNames>
  <calcPr fullCalcOnLoad="1"/>
</workbook>
</file>

<file path=xl/sharedStrings.xml><?xml version="1.0" encoding="utf-8"?>
<sst xmlns="http://schemas.openxmlformats.org/spreadsheetml/2006/main" count="263" uniqueCount="129">
  <si>
    <t>Rebus 1</t>
  </si>
  <si>
    <t>Rebus 2</t>
  </si>
  <si>
    <t>Manöverprov</t>
  </si>
  <si>
    <t>Rebus 3</t>
  </si>
  <si>
    <t>Rebus 4</t>
  </si>
  <si>
    <t>Rebus 5</t>
  </si>
  <si>
    <t>Rebus 6</t>
  </si>
  <si>
    <t>Rebus 7</t>
  </si>
  <si>
    <t>Rebus 8</t>
  </si>
  <si>
    <t>Rebus 9</t>
  </si>
  <si>
    <t>Kod</t>
  </si>
  <si>
    <t>Rebuspoäng</t>
  </si>
  <si>
    <t xml:space="preserve"> </t>
  </si>
  <si>
    <t>Rebus 11</t>
  </si>
  <si>
    <t>Lunchlekar</t>
  </si>
  <si>
    <t>Klipp</t>
  </si>
  <si>
    <t>Förklaring</t>
  </si>
  <si>
    <t>Rebus 12</t>
  </si>
  <si>
    <t>Rebus 13</t>
  </si>
  <si>
    <t>Rebus 14</t>
  </si>
  <si>
    <t>Rebus 15</t>
  </si>
  <si>
    <t>Rebus 16</t>
  </si>
  <si>
    <t>Rebus 17</t>
  </si>
  <si>
    <t>Rebus 18</t>
  </si>
  <si>
    <t>Rebus 19</t>
  </si>
  <si>
    <t>Lag</t>
  </si>
  <si>
    <t>Rebus 10</t>
  </si>
  <si>
    <t>Rebus 20</t>
  </si>
  <si>
    <t>Antal åkta rallyn</t>
  </si>
  <si>
    <t>Rebuspoäng- medel</t>
  </si>
  <si>
    <t>Totalt</t>
  </si>
  <si>
    <t>Tidsprickar</t>
  </si>
  <si>
    <t>Start</t>
  </si>
  <si>
    <t>Lunch</t>
  </si>
  <si>
    <t>Mål</t>
  </si>
  <si>
    <t>Fotoplock</t>
  </si>
  <si>
    <t>Bokstavsplock</t>
  </si>
  <si>
    <t>Antal</t>
  </si>
  <si>
    <t>Plock totalt</t>
  </si>
  <si>
    <t>Prickar</t>
  </si>
  <si>
    <t>Koordinat</t>
  </si>
  <si>
    <t>Lösning</t>
  </si>
  <si>
    <t>TOTALT</t>
  </si>
  <si>
    <t>Missad kod</t>
  </si>
  <si>
    <t>Förklaringar</t>
  </si>
  <si>
    <t>Justering</t>
  </si>
  <si>
    <t>Motto</t>
  </si>
  <si>
    <t>Antal prickar</t>
  </si>
  <si>
    <t>Antal rebusar</t>
  </si>
  <si>
    <t>Prickar per rebus</t>
  </si>
  <si>
    <t>Antal missade koder</t>
  </si>
  <si>
    <t>Klipp-prickar</t>
  </si>
  <si>
    <t>Totalt prickar</t>
  </si>
  <si>
    <t>Placering</t>
  </si>
  <si>
    <t>Plock</t>
  </si>
  <si>
    <t>Prickar per missat plock</t>
  </si>
  <si>
    <t>Lagnamn</t>
  </si>
  <si>
    <t>Placeringar</t>
  </si>
  <si>
    <t>Slutplacering</t>
  </si>
  <si>
    <t>Koordinatklipp</t>
  </si>
  <si>
    <t>Lösningsklipp</t>
  </si>
  <si>
    <t>Klipp totalt</t>
  </si>
  <si>
    <t xml:space="preserve">Fotoplock </t>
  </si>
  <si>
    <t>Vandringspris</t>
  </si>
  <si>
    <t>Glad i ratten</t>
  </si>
  <si>
    <t>Saxen</t>
  </si>
  <si>
    <t>Liftare</t>
  </si>
  <si>
    <t>Sämst på plock</t>
  </si>
  <si>
    <t>Bästa muta</t>
  </si>
  <si>
    <t>Årets rookie</t>
  </si>
  <si>
    <t>Pokalen</t>
  </si>
  <si>
    <t>Bäst på fotoplock</t>
  </si>
  <si>
    <t>Bäst på bokstavsplock</t>
  </si>
  <si>
    <t>Årets groda</t>
  </si>
  <si>
    <t>Ratten</t>
  </si>
  <si>
    <t>110-skylt</t>
  </si>
  <si>
    <t>Tyg-hund (pongo)</t>
  </si>
  <si>
    <t>Foto-ark</t>
  </si>
  <si>
    <t>P-locket</t>
  </si>
  <si>
    <t>Flest klipp</t>
  </si>
  <si>
    <t>10-skylt</t>
  </si>
  <si>
    <t>Huvudled</t>
  </si>
  <si>
    <t>Flest tidsprickar</t>
  </si>
  <si>
    <t>Bäst på manöverprov</t>
  </si>
  <si>
    <t>Navkapsel</t>
  </si>
  <si>
    <t>Rovälgen</t>
  </si>
  <si>
    <t>Groda på groda</t>
  </si>
  <si>
    <t>Pokal</t>
  </si>
  <si>
    <t>?</t>
  </si>
  <si>
    <t>Pyssel</t>
  </si>
  <si>
    <t>Lagnr</t>
  </si>
  <si>
    <t>Dessa tabeller innehåller varje delmoments prickar sorterat var för sig.</t>
  </si>
  <si>
    <t>Lag (i nummerordning)</t>
  </si>
  <si>
    <t>Flest prickar</t>
  </si>
  <si>
    <t>Delmoment prickar</t>
  </si>
  <si>
    <t>Bäst på lösningsförklaringar</t>
  </si>
  <si>
    <t>SLUTSTÄLLNING</t>
  </si>
  <si>
    <t>Antal lag:</t>
  </si>
  <si>
    <t>A-Team</t>
  </si>
  <si>
    <t>SIHWAK</t>
  </si>
  <si>
    <t>Kör som kör</t>
  </si>
  <si>
    <t>PFD:arna</t>
  </si>
  <si>
    <t>Raptus Rallii</t>
  </si>
  <si>
    <t>Nomen Nescio</t>
  </si>
  <si>
    <t>Filmpyssel</t>
  </si>
  <si>
    <t>Vägmärkespyssel</t>
  </si>
  <si>
    <t>I just love it when a plan comes together</t>
  </si>
  <si>
    <t>inte det minsta pinsamma</t>
  </si>
  <si>
    <t>He' ba' åk</t>
  </si>
  <si>
    <t>Uplands Nations Rally HT2003</t>
  </si>
  <si>
    <t>Liftarens Guide Till LEGO</t>
  </si>
  <si>
    <t>LIVET, Universum och Allting</t>
  </si>
  <si>
    <t>Restaurangen vid slutet av omklädningsrummet</t>
  </si>
  <si>
    <t>Missade plock (förmiddag)</t>
  </si>
  <si>
    <t>Missade plock (eftermiddag)</t>
  </si>
  <si>
    <t>Missade plock</t>
  </si>
  <si>
    <t>Bättre ett högt C än ett segt hö</t>
  </si>
  <si>
    <t>Arrangörer: Liftarna</t>
  </si>
  <si>
    <t>Åk till lunch</t>
  </si>
  <si>
    <t>otaliga</t>
  </si>
  <si>
    <t>Glödlampa</t>
  </si>
  <si>
    <t>Mutor och felöppnade kuvert</t>
  </si>
  <si>
    <t>Felkörning, okunskap om mätning, och att dom trots detta vann</t>
  </si>
  <si>
    <t>Åkt sträcka</t>
  </si>
  <si>
    <t>164 (!)</t>
  </si>
  <si>
    <t>Kartan är mindre än verkligheten</t>
  </si>
  <si>
    <t>Bättre sent än för sent</t>
  </si>
  <si>
    <t>The (h)owls wont like this</t>
  </si>
  <si>
    <t>Ett gäng gamla (h)uvar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</si>
</sst>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Bitstream Vera Sans"/>
      <family val="2"/>
    </font>
    <font>
      <sz val="24"/>
      <name val="Bitstream Vera Sans"/>
      <family val="2"/>
    </font>
    <font>
      <b/>
      <sz val="16"/>
      <name val="Bitstream Vera Sans"/>
      <family val="2"/>
    </font>
    <font>
      <sz val="16"/>
      <name val="Bitstream Vera Sans"/>
      <family val="2"/>
    </font>
    <font>
      <b/>
      <sz val="10"/>
      <name val="Bitstream Vera Sans"/>
      <family val="2"/>
    </font>
    <font>
      <i/>
      <sz val="8"/>
      <name val="Bitstream Vera Sans"/>
      <family val="2"/>
    </font>
    <font>
      <sz val="10"/>
      <name val="Bitstream Vera Sans"/>
      <family val="2"/>
    </font>
    <font>
      <b/>
      <sz val="8"/>
      <name val="Bitstream Vera Sans"/>
      <family val="2"/>
    </font>
    <font>
      <sz val="8"/>
      <name val="Bitstream Vera Sans"/>
      <family val="2"/>
    </font>
    <font>
      <b/>
      <sz val="8"/>
      <color indexed="22"/>
      <name val="Bitstream Vera Sans"/>
      <family val="2"/>
    </font>
    <font>
      <sz val="16"/>
      <color indexed="9"/>
      <name val="Bitstream Vera Sans"/>
      <family val="2"/>
    </font>
    <font>
      <b/>
      <i/>
      <sz val="18"/>
      <name val="Bitstream Vera Sans"/>
      <family val="2"/>
    </font>
    <font>
      <b/>
      <i/>
      <sz val="8"/>
      <name val="Bitstream Vera Sans"/>
      <family val="2"/>
    </font>
    <font>
      <i/>
      <sz val="10"/>
      <name val="Bitstream Vera Sans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2" xfId="0" applyNumberFormat="1" applyFont="1" applyFill="1" applyBorder="1" applyAlignment="1">
      <alignment horizontal="center" wrapText="1"/>
    </xf>
    <xf numFmtId="0" fontId="10" fillId="4" borderId="2" xfId="0" applyNumberFormat="1" applyFont="1" applyFill="1" applyBorder="1" applyAlignment="1">
      <alignment horizontal="center"/>
    </xf>
    <xf numFmtId="170" fontId="9" fillId="0" borderId="1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4" borderId="1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4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1" xfId="0" applyFont="1" applyBorder="1" applyAlignment="1">
      <alignment/>
    </xf>
    <xf numFmtId="2" fontId="8" fillId="0" borderId="0" xfId="0" applyNumberFormat="1" applyFont="1" applyBorder="1" applyAlignment="1">
      <alignment/>
    </xf>
    <xf numFmtId="170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3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70" fontId="11" fillId="0" borderId="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0" fillId="7" borderId="3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/>
    </xf>
    <xf numFmtId="170" fontId="10" fillId="8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6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tabSelected="1" zoomScaleSheetLayoutView="50" workbookViewId="0" topLeftCell="A4">
      <pane ySplit="1020" topLeftCell="BM184" activePane="bottomLeft" state="split"/>
      <selection pane="topLeft" activeCell="I4" sqref="I4"/>
      <selection pane="bottomLeft" activeCell="F217" sqref="F217"/>
    </sheetView>
  </sheetViews>
  <sheetFormatPr defaultColWidth="9.140625" defaultRowHeight="12.75"/>
  <cols>
    <col min="1" max="1" width="15.7109375" style="7" customWidth="1"/>
    <col min="2" max="2" width="27.28125" style="12" customWidth="1"/>
    <col min="3" max="16384" width="13.421875" style="8" customWidth="1"/>
  </cols>
  <sheetData>
    <row r="1" spans="1:2" s="3" customFormat="1" ht="30">
      <c r="A1" s="1" t="s">
        <v>109</v>
      </c>
      <c r="B1" s="2"/>
    </row>
    <row r="2" spans="1:2" s="74" customFormat="1" ht="23.25">
      <c r="A2" s="74" t="s">
        <v>117</v>
      </c>
      <c r="B2" s="75"/>
    </row>
    <row r="3" spans="1:3" s="5" customFormat="1" ht="20.25">
      <c r="A3" s="4"/>
      <c r="B3" s="72" t="s">
        <v>97</v>
      </c>
      <c r="C3" s="73">
        <v>7</v>
      </c>
    </row>
    <row r="4" spans="1:9" s="70" customFormat="1" ht="38.25">
      <c r="A4" s="70" t="s">
        <v>12</v>
      </c>
      <c r="B4" s="70" t="s">
        <v>25</v>
      </c>
      <c r="C4" s="71" t="s">
        <v>98</v>
      </c>
      <c r="D4" s="71" t="s">
        <v>99</v>
      </c>
      <c r="E4" s="71" t="s">
        <v>100</v>
      </c>
      <c r="F4" s="71" t="s">
        <v>101</v>
      </c>
      <c r="G4" s="71" t="s">
        <v>102</v>
      </c>
      <c r="H4" s="71" t="s">
        <v>103</v>
      </c>
      <c r="I4" s="71" t="s">
        <v>128</v>
      </c>
    </row>
    <row r="5" spans="1:9" s="6" customFormat="1" ht="33.75">
      <c r="A5" s="16" t="s">
        <v>12</v>
      </c>
      <c r="B5" s="16" t="s">
        <v>46</v>
      </c>
      <c r="C5" s="17" t="s">
        <v>106</v>
      </c>
      <c r="D5" s="17" t="s">
        <v>125</v>
      </c>
      <c r="E5" s="17" t="s">
        <v>116</v>
      </c>
      <c r="F5" s="17" t="s">
        <v>107</v>
      </c>
      <c r="G5" s="17" t="s">
        <v>108</v>
      </c>
      <c r="H5" s="17" t="s">
        <v>126</v>
      </c>
      <c r="I5" s="17" t="s">
        <v>127</v>
      </c>
    </row>
    <row r="6" spans="1:9" s="79" customFormat="1" ht="11.25">
      <c r="A6" s="77"/>
      <c r="B6" s="77" t="s">
        <v>123</v>
      </c>
      <c r="C6" s="78" t="s">
        <v>124</v>
      </c>
      <c r="D6" s="78">
        <v>134</v>
      </c>
      <c r="E6" s="78">
        <v>142</v>
      </c>
      <c r="F6" s="78">
        <v>135</v>
      </c>
      <c r="G6" s="78">
        <v>122</v>
      </c>
      <c r="H6" s="78">
        <v>129</v>
      </c>
      <c r="I6" s="78" t="s">
        <v>88</v>
      </c>
    </row>
    <row r="7" spans="1:18" s="9" customFormat="1" ht="12.75">
      <c r="A7" s="24" t="s">
        <v>12</v>
      </c>
      <c r="B7" s="40" t="s">
        <v>28</v>
      </c>
      <c r="C7" s="80">
        <v>27</v>
      </c>
      <c r="D7" s="80">
        <v>17</v>
      </c>
      <c r="E7" s="80">
        <v>33</v>
      </c>
      <c r="F7" s="80">
        <v>63</v>
      </c>
      <c r="G7" s="80">
        <v>2</v>
      </c>
      <c r="H7" s="80">
        <v>11</v>
      </c>
      <c r="I7" s="80" t="s">
        <v>119</v>
      </c>
      <c r="J7" s="54"/>
      <c r="K7" s="54"/>
      <c r="L7" s="54"/>
      <c r="M7" s="54"/>
      <c r="N7" s="54"/>
      <c r="O7" s="54"/>
      <c r="P7" s="54"/>
      <c r="Q7" s="54"/>
      <c r="R7" s="54"/>
    </row>
    <row r="8" spans="1:18" ht="12.75" hidden="1">
      <c r="A8" s="25"/>
      <c r="B8" s="41" t="s">
        <v>90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39"/>
      <c r="K8" s="39"/>
      <c r="L8" s="39"/>
      <c r="M8" s="39"/>
      <c r="N8" s="39"/>
      <c r="O8" s="39"/>
      <c r="P8" s="39"/>
      <c r="Q8" s="39"/>
      <c r="R8" s="39"/>
    </row>
    <row r="9" spans="1:18" s="9" customFormat="1" ht="12.75">
      <c r="A9" s="26" t="s">
        <v>0</v>
      </c>
      <c r="B9" s="42" t="s">
        <v>15</v>
      </c>
      <c r="C9" s="53">
        <v>0</v>
      </c>
      <c r="D9" s="53">
        <v>20</v>
      </c>
      <c r="E9" s="53">
        <v>5</v>
      </c>
      <c r="F9" s="53">
        <v>0</v>
      </c>
      <c r="G9" s="53">
        <v>0</v>
      </c>
      <c r="H9" s="53">
        <v>0</v>
      </c>
      <c r="I9" s="53">
        <v>5</v>
      </c>
      <c r="J9" s="54"/>
      <c r="K9" s="54"/>
      <c r="L9" s="54"/>
      <c r="M9" s="54"/>
      <c r="N9" s="54"/>
      <c r="O9" s="54"/>
      <c r="P9" s="54"/>
      <c r="Q9" s="54"/>
      <c r="R9" s="54"/>
    </row>
    <row r="10" spans="1:18" ht="12.75">
      <c r="A10" s="27"/>
      <c r="B10" s="43" t="s">
        <v>16</v>
      </c>
      <c r="C10" s="55">
        <v>0</v>
      </c>
      <c r="D10" s="55">
        <v>6</v>
      </c>
      <c r="E10" s="55">
        <v>1</v>
      </c>
      <c r="F10" s="55">
        <v>0</v>
      </c>
      <c r="G10" s="55">
        <v>0</v>
      </c>
      <c r="H10" s="55">
        <v>2</v>
      </c>
      <c r="I10" s="55">
        <v>2</v>
      </c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2.75">
      <c r="A11" s="27"/>
      <c r="B11" s="43" t="s">
        <v>10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2.75">
      <c r="A12" s="28"/>
      <c r="B12" s="44" t="s">
        <v>11</v>
      </c>
      <c r="C12" s="56">
        <f>1-(C9/2+C10)/20</f>
        <v>1</v>
      </c>
      <c r="D12" s="56">
        <f aca="true" t="shared" si="0" ref="D12:I12">1-(D9/2+D10)/20</f>
        <v>0.19999999999999996</v>
      </c>
      <c r="E12" s="56">
        <f t="shared" si="0"/>
        <v>0.825</v>
      </c>
      <c r="F12" s="56">
        <f t="shared" si="0"/>
        <v>1</v>
      </c>
      <c r="G12" s="56">
        <f t="shared" si="0"/>
        <v>1</v>
      </c>
      <c r="H12" s="56">
        <f t="shared" si="0"/>
        <v>0.9</v>
      </c>
      <c r="I12" s="56">
        <f t="shared" si="0"/>
        <v>0.775</v>
      </c>
      <c r="J12" s="39"/>
      <c r="K12" s="39"/>
      <c r="L12" s="39"/>
      <c r="M12" s="39"/>
      <c r="N12" s="39"/>
      <c r="O12" s="39"/>
      <c r="P12" s="39"/>
      <c r="Q12" s="39"/>
      <c r="R12" s="39"/>
    </row>
    <row r="13" spans="1:18" s="9" customFormat="1" ht="12.75">
      <c r="A13" s="26" t="s">
        <v>1</v>
      </c>
      <c r="B13" s="42" t="s">
        <v>15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5</v>
      </c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12.75">
      <c r="A14" s="27"/>
      <c r="B14" s="43" t="s">
        <v>16</v>
      </c>
      <c r="C14" s="55">
        <v>10</v>
      </c>
      <c r="D14" s="55">
        <v>9</v>
      </c>
      <c r="E14" s="55">
        <v>1</v>
      </c>
      <c r="F14" s="55">
        <v>0</v>
      </c>
      <c r="G14" s="55">
        <v>4</v>
      </c>
      <c r="H14" s="55">
        <v>1</v>
      </c>
      <c r="I14" s="55">
        <v>7</v>
      </c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>
      <c r="A15" s="27"/>
      <c r="B15" s="43" t="s">
        <v>10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2.75">
      <c r="A16" s="27"/>
      <c r="B16" s="43" t="s">
        <v>11</v>
      </c>
      <c r="C16" s="56">
        <f>1-(C13/2+C14)/20</f>
        <v>0.5</v>
      </c>
      <c r="D16" s="56">
        <f aca="true" t="shared" si="1" ref="D16:I16">1-(D13/2+D14)/20</f>
        <v>0.55</v>
      </c>
      <c r="E16" s="56">
        <f t="shared" si="1"/>
        <v>0.95</v>
      </c>
      <c r="F16" s="56">
        <f t="shared" si="1"/>
        <v>1</v>
      </c>
      <c r="G16" s="56">
        <f t="shared" si="1"/>
        <v>0.8</v>
      </c>
      <c r="H16" s="56">
        <f t="shared" si="1"/>
        <v>0.95</v>
      </c>
      <c r="I16" s="56">
        <f t="shared" si="1"/>
        <v>0.525</v>
      </c>
      <c r="J16" s="39"/>
      <c r="K16" s="39"/>
      <c r="L16" s="39"/>
      <c r="M16" s="39"/>
      <c r="N16" s="39"/>
      <c r="O16" s="39"/>
      <c r="P16" s="39"/>
      <c r="Q16" s="39"/>
      <c r="R16" s="39"/>
    </row>
    <row r="17" spans="1:18" s="9" customFormat="1" ht="12.75">
      <c r="A17" s="26" t="s">
        <v>3</v>
      </c>
      <c r="B17" s="42" t="s">
        <v>15</v>
      </c>
      <c r="C17" s="53">
        <v>0</v>
      </c>
      <c r="D17" s="53">
        <v>20</v>
      </c>
      <c r="E17" s="53">
        <v>5</v>
      </c>
      <c r="F17" s="53">
        <v>5</v>
      </c>
      <c r="G17" s="53">
        <v>20</v>
      </c>
      <c r="H17" s="53">
        <v>20</v>
      </c>
      <c r="I17" s="53">
        <v>5</v>
      </c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2.75">
      <c r="A18" s="27"/>
      <c r="B18" s="43" t="s">
        <v>16</v>
      </c>
      <c r="C18" s="55">
        <v>6</v>
      </c>
      <c r="D18" s="55">
        <v>10</v>
      </c>
      <c r="E18" s="55">
        <v>10</v>
      </c>
      <c r="F18" s="55">
        <v>0</v>
      </c>
      <c r="G18" s="55">
        <v>5</v>
      </c>
      <c r="H18" s="55">
        <v>8</v>
      </c>
      <c r="I18" s="55">
        <v>9</v>
      </c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2.75">
      <c r="A19" s="27"/>
      <c r="B19" s="43" t="s">
        <v>10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2.75">
      <c r="A20" s="27"/>
      <c r="B20" s="43" t="s">
        <v>11</v>
      </c>
      <c r="C20" s="56">
        <f>1-(C17/2+C18)/20</f>
        <v>0.7</v>
      </c>
      <c r="D20" s="56">
        <f aca="true" t="shared" si="2" ref="D20:I20">1-(D17/2+D18)/20</f>
        <v>0</v>
      </c>
      <c r="E20" s="56">
        <f t="shared" si="2"/>
        <v>0.375</v>
      </c>
      <c r="F20" s="56">
        <f t="shared" si="2"/>
        <v>0.875</v>
      </c>
      <c r="G20" s="56">
        <f t="shared" si="2"/>
        <v>0.25</v>
      </c>
      <c r="H20" s="56">
        <f t="shared" si="2"/>
        <v>0.09999999999999998</v>
      </c>
      <c r="I20" s="56">
        <f t="shared" si="2"/>
        <v>0.42500000000000004</v>
      </c>
      <c r="J20" s="39"/>
      <c r="K20" s="39"/>
      <c r="L20" s="39"/>
      <c r="M20" s="39"/>
      <c r="N20" s="39"/>
      <c r="O20" s="39"/>
      <c r="P20" s="39"/>
      <c r="Q20" s="39"/>
      <c r="R20" s="39"/>
    </row>
    <row r="21" spans="1:18" s="9" customFormat="1" ht="12.75">
      <c r="A21" s="26" t="s">
        <v>4</v>
      </c>
      <c r="B21" s="42" t="s">
        <v>15</v>
      </c>
      <c r="C21" s="53">
        <v>20</v>
      </c>
      <c r="D21" s="53">
        <v>20</v>
      </c>
      <c r="E21" s="53">
        <v>20</v>
      </c>
      <c r="F21" s="53">
        <v>5</v>
      </c>
      <c r="G21" s="53">
        <v>20</v>
      </c>
      <c r="H21" s="53">
        <v>20</v>
      </c>
      <c r="I21" s="53">
        <v>20</v>
      </c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12.75">
      <c r="A22" s="27"/>
      <c r="B22" s="43" t="s">
        <v>16</v>
      </c>
      <c r="C22" s="55">
        <v>0</v>
      </c>
      <c r="D22" s="55">
        <v>8</v>
      </c>
      <c r="E22" s="55">
        <v>1</v>
      </c>
      <c r="F22" s="55">
        <v>0</v>
      </c>
      <c r="G22" s="55">
        <v>4</v>
      </c>
      <c r="H22" s="55">
        <v>10</v>
      </c>
      <c r="I22" s="55">
        <v>10</v>
      </c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2.75">
      <c r="A23" s="27"/>
      <c r="B23" s="43" t="s">
        <v>10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>
      <c r="A24" s="27"/>
      <c r="B24" s="43" t="s">
        <v>11</v>
      </c>
      <c r="C24" s="56">
        <f>1-(C21/2+C22)/20</f>
        <v>0.5</v>
      </c>
      <c r="D24" s="56">
        <f aca="true" t="shared" si="3" ref="D24:I24">1-(D21/2+D22)/20</f>
        <v>0.09999999999999998</v>
      </c>
      <c r="E24" s="56">
        <f t="shared" si="3"/>
        <v>0.44999999999999996</v>
      </c>
      <c r="F24" s="56">
        <f t="shared" si="3"/>
        <v>0.875</v>
      </c>
      <c r="G24" s="56">
        <f t="shared" si="3"/>
        <v>0.30000000000000004</v>
      </c>
      <c r="H24" s="56">
        <f t="shared" si="3"/>
        <v>0</v>
      </c>
      <c r="I24" s="56">
        <f t="shared" si="3"/>
        <v>0</v>
      </c>
      <c r="J24" s="39"/>
      <c r="K24" s="39"/>
      <c r="L24" s="39"/>
      <c r="M24" s="39"/>
      <c r="N24" s="39"/>
      <c r="O24" s="39"/>
      <c r="P24" s="39"/>
      <c r="Q24" s="39"/>
      <c r="R24" s="39"/>
    </row>
    <row r="25" spans="1:18" s="9" customFormat="1" ht="12.75">
      <c r="A25" s="26" t="s">
        <v>5</v>
      </c>
      <c r="B25" s="42" t="s">
        <v>15</v>
      </c>
      <c r="C25" s="53">
        <v>20</v>
      </c>
      <c r="D25" s="53">
        <v>0</v>
      </c>
      <c r="E25" s="53">
        <v>5</v>
      </c>
      <c r="F25" s="53">
        <v>0</v>
      </c>
      <c r="G25" s="53">
        <v>20</v>
      </c>
      <c r="H25" s="53">
        <v>0</v>
      </c>
      <c r="I25" s="53">
        <v>5</v>
      </c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2.75">
      <c r="A26" s="27"/>
      <c r="B26" s="43" t="s">
        <v>16</v>
      </c>
      <c r="C26" s="55">
        <v>0</v>
      </c>
      <c r="D26" s="55">
        <v>10</v>
      </c>
      <c r="E26" s="55">
        <v>1</v>
      </c>
      <c r="F26" s="55">
        <v>0</v>
      </c>
      <c r="G26" s="55">
        <v>2</v>
      </c>
      <c r="H26" s="55">
        <v>10</v>
      </c>
      <c r="I26" s="55">
        <v>2</v>
      </c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2.75">
      <c r="A27" s="27"/>
      <c r="B27" s="43" t="s">
        <v>10</v>
      </c>
      <c r="C27" s="55">
        <v>0</v>
      </c>
      <c r="D27" s="55">
        <v>20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2.75">
      <c r="A28" s="27"/>
      <c r="B28" s="43" t="s">
        <v>11</v>
      </c>
      <c r="C28" s="56">
        <f>1-(C25/2+C26)/20</f>
        <v>0.5</v>
      </c>
      <c r="D28" s="56">
        <f aca="true" t="shared" si="4" ref="D28:I28">1-(D25/2+D26)/20</f>
        <v>0.5</v>
      </c>
      <c r="E28" s="56">
        <f t="shared" si="4"/>
        <v>0.825</v>
      </c>
      <c r="F28" s="56">
        <f t="shared" si="4"/>
        <v>1</v>
      </c>
      <c r="G28" s="56">
        <f t="shared" si="4"/>
        <v>0.4</v>
      </c>
      <c r="H28" s="56">
        <f t="shared" si="4"/>
        <v>0.5</v>
      </c>
      <c r="I28" s="56">
        <f t="shared" si="4"/>
        <v>0.775</v>
      </c>
      <c r="J28" s="39"/>
      <c r="K28" s="39"/>
      <c r="L28" s="39"/>
      <c r="M28" s="39"/>
      <c r="N28" s="39"/>
      <c r="O28" s="39"/>
      <c r="P28" s="39"/>
      <c r="Q28" s="39"/>
      <c r="R28" s="39"/>
    </row>
    <row r="29" spans="1:18" s="9" customFormat="1" ht="12.75">
      <c r="A29" s="26" t="s">
        <v>6</v>
      </c>
      <c r="B29" s="42" t="s">
        <v>15</v>
      </c>
      <c r="C29" s="53">
        <v>5</v>
      </c>
      <c r="D29" s="53">
        <v>20</v>
      </c>
      <c r="E29" s="53">
        <v>5</v>
      </c>
      <c r="F29" s="53">
        <v>5</v>
      </c>
      <c r="G29" s="53">
        <v>20</v>
      </c>
      <c r="H29" s="53">
        <v>0</v>
      </c>
      <c r="I29" s="53">
        <v>5</v>
      </c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27"/>
      <c r="B30" s="43" t="s">
        <v>16</v>
      </c>
      <c r="C30" s="55">
        <v>7</v>
      </c>
      <c r="D30" s="55">
        <v>10</v>
      </c>
      <c r="E30" s="55">
        <v>1</v>
      </c>
      <c r="F30" s="55">
        <v>3</v>
      </c>
      <c r="G30" s="55">
        <v>10</v>
      </c>
      <c r="H30" s="55">
        <v>9</v>
      </c>
      <c r="I30" s="55">
        <v>0</v>
      </c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2.75">
      <c r="A31" s="27"/>
      <c r="B31" s="43" t="s">
        <v>10</v>
      </c>
      <c r="C31" s="55">
        <v>0</v>
      </c>
      <c r="D31" s="55">
        <v>20</v>
      </c>
      <c r="E31" s="55">
        <v>0</v>
      </c>
      <c r="F31" s="55">
        <v>0</v>
      </c>
      <c r="G31" s="55">
        <v>0</v>
      </c>
      <c r="H31" s="55">
        <v>20</v>
      </c>
      <c r="I31" s="55">
        <v>0</v>
      </c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2.75">
      <c r="A32" s="27"/>
      <c r="B32" s="43" t="s">
        <v>11</v>
      </c>
      <c r="C32" s="56">
        <f>1-(C29/2+C30)/20</f>
        <v>0.525</v>
      </c>
      <c r="D32" s="56">
        <f aca="true" t="shared" si="5" ref="D32:I32">1-(D29/2+D30)/20</f>
        <v>0</v>
      </c>
      <c r="E32" s="56">
        <f t="shared" si="5"/>
        <v>0.825</v>
      </c>
      <c r="F32" s="56">
        <f t="shared" si="5"/>
        <v>0.725</v>
      </c>
      <c r="G32" s="56">
        <f t="shared" si="5"/>
        <v>0</v>
      </c>
      <c r="H32" s="56">
        <f t="shared" si="5"/>
        <v>0.55</v>
      </c>
      <c r="I32" s="56">
        <f t="shared" si="5"/>
        <v>0.875</v>
      </c>
      <c r="J32" s="39"/>
      <c r="K32" s="39"/>
      <c r="L32" s="39"/>
      <c r="M32" s="39"/>
      <c r="N32" s="39"/>
      <c r="O32" s="39"/>
      <c r="P32" s="39"/>
      <c r="Q32" s="39"/>
      <c r="R32" s="39"/>
    </row>
    <row r="33" spans="1:18" s="9" customFormat="1" ht="12.75">
      <c r="A33" s="26" t="s">
        <v>7</v>
      </c>
      <c r="B33" s="42" t="s">
        <v>15</v>
      </c>
      <c r="C33" s="53">
        <v>5</v>
      </c>
      <c r="D33" s="53">
        <v>20</v>
      </c>
      <c r="E33" s="53">
        <v>20</v>
      </c>
      <c r="F33" s="53">
        <v>5</v>
      </c>
      <c r="G33" s="53">
        <v>5</v>
      </c>
      <c r="H33" s="53">
        <v>0</v>
      </c>
      <c r="I33" s="53">
        <v>5</v>
      </c>
      <c r="J33" s="54"/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27"/>
      <c r="B34" s="43" t="s">
        <v>16</v>
      </c>
      <c r="C34" s="55">
        <v>0</v>
      </c>
      <c r="D34" s="55">
        <v>10</v>
      </c>
      <c r="E34" s="55">
        <v>9</v>
      </c>
      <c r="F34" s="55">
        <v>1</v>
      </c>
      <c r="G34" s="55">
        <v>8</v>
      </c>
      <c r="H34" s="55">
        <v>9</v>
      </c>
      <c r="I34" s="55">
        <v>1</v>
      </c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2.75">
      <c r="A35" s="27"/>
      <c r="B35" s="43" t="s">
        <v>10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2.75">
      <c r="A36" s="27"/>
      <c r="B36" s="43" t="s">
        <v>11</v>
      </c>
      <c r="C36" s="56">
        <f>1-(C33/2+C34)/20</f>
        <v>0.875</v>
      </c>
      <c r="D36" s="56">
        <f aca="true" t="shared" si="6" ref="D36:I36">1-(D33/2+D34)/20</f>
        <v>0</v>
      </c>
      <c r="E36" s="56">
        <f t="shared" si="6"/>
        <v>0.050000000000000044</v>
      </c>
      <c r="F36" s="56">
        <f t="shared" si="6"/>
        <v>0.825</v>
      </c>
      <c r="G36" s="56">
        <f t="shared" si="6"/>
        <v>0.475</v>
      </c>
      <c r="H36" s="56">
        <f t="shared" si="6"/>
        <v>0.55</v>
      </c>
      <c r="I36" s="56">
        <f t="shared" si="6"/>
        <v>0.825</v>
      </c>
      <c r="J36" s="39"/>
      <c r="K36" s="39"/>
      <c r="L36" s="39"/>
      <c r="M36" s="39"/>
      <c r="N36" s="39"/>
      <c r="O36" s="39"/>
      <c r="P36" s="39"/>
      <c r="Q36" s="39"/>
      <c r="R36" s="39"/>
    </row>
    <row r="37" spans="1:18" s="9" customFormat="1" ht="12.75">
      <c r="A37" s="26" t="s">
        <v>8</v>
      </c>
      <c r="B37" s="42" t="s">
        <v>15</v>
      </c>
      <c r="C37" s="53">
        <v>5</v>
      </c>
      <c r="D37" s="53">
        <v>0</v>
      </c>
      <c r="E37" s="53">
        <v>5</v>
      </c>
      <c r="F37" s="53">
        <v>0</v>
      </c>
      <c r="G37" s="53">
        <v>0</v>
      </c>
      <c r="H37" s="53">
        <v>0</v>
      </c>
      <c r="I37" s="53">
        <v>5</v>
      </c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27"/>
      <c r="B38" s="43" t="s">
        <v>16</v>
      </c>
      <c r="C38" s="55">
        <v>1</v>
      </c>
      <c r="D38" s="55">
        <v>10</v>
      </c>
      <c r="E38" s="55">
        <v>0</v>
      </c>
      <c r="F38" s="55">
        <v>0</v>
      </c>
      <c r="G38" s="55">
        <v>10</v>
      </c>
      <c r="H38" s="55">
        <v>6</v>
      </c>
      <c r="I38" s="55">
        <v>1</v>
      </c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2.75">
      <c r="A39" s="27"/>
      <c r="B39" s="43" t="s">
        <v>10</v>
      </c>
      <c r="C39" s="55">
        <v>0</v>
      </c>
      <c r="D39" s="55">
        <v>0</v>
      </c>
      <c r="E39" s="55">
        <v>0</v>
      </c>
      <c r="F39" s="55">
        <v>0</v>
      </c>
      <c r="G39" s="55">
        <v>20</v>
      </c>
      <c r="H39" s="55">
        <v>0</v>
      </c>
      <c r="I39" s="55">
        <v>0</v>
      </c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2.75">
      <c r="A40" s="27"/>
      <c r="B40" s="43" t="s">
        <v>11</v>
      </c>
      <c r="C40" s="56">
        <f>1-(C37/2+C38)/20</f>
        <v>0.825</v>
      </c>
      <c r="D40" s="56">
        <f aca="true" t="shared" si="7" ref="D40:I40">1-(D37/2+D38)/20</f>
        <v>0.5</v>
      </c>
      <c r="E40" s="56">
        <f t="shared" si="7"/>
        <v>0.875</v>
      </c>
      <c r="F40" s="56">
        <f t="shared" si="7"/>
        <v>1</v>
      </c>
      <c r="G40" s="56">
        <f t="shared" si="7"/>
        <v>0.5</v>
      </c>
      <c r="H40" s="56">
        <f t="shared" si="7"/>
        <v>0.7</v>
      </c>
      <c r="I40" s="56">
        <f t="shared" si="7"/>
        <v>0.825</v>
      </c>
      <c r="J40" s="39"/>
      <c r="K40" s="39"/>
      <c r="L40" s="39"/>
      <c r="M40" s="39"/>
      <c r="N40" s="39"/>
      <c r="O40" s="39"/>
      <c r="P40" s="39"/>
      <c r="Q40" s="39"/>
      <c r="R40" s="39"/>
    </row>
    <row r="41" spans="1:18" s="9" customFormat="1" ht="12.75">
      <c r="A41" s="26" t="s">
        <v>9</v>
      </c>
      <c r="B41" s="42" t="s">
        <v>15</v>
      </c>
      <c r="C41" s="53">
        <v>20</v>
      </c>
      <c r="D41" s="53">
        <v>20</v>
      </c>
      <c r="E41" s="53">
        <v>20</v>
      </c>
      <c r="F41" s="53">
        <v>5</v>
      </c>
      <c r="G41" s="53">
        <v>20</v>
      </c>
      <c r="H41" s="53">
        <v>20</v>
      </c>
      <c r="I41" s="53">
        <v>20</v>
      </c>
      <c r="J41" s="54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27"/>
      <c r="B42" s="43" t="s">
        <v>16</v>
      </c>
      <c r="C42" s="55">
        <v>5</v>
      </c>
      <c r="D42" s="55">
        <v>10</v>
      </c>
      <c r="E42" s="55">
        <v>1</v>
      </c>
      <c r="F42" s="55">
        <v>1</v>
      </c>
      <c r="G42" s="55">
        <v>10</v>
      </c>
      <c r="H42" s="55">
        <v>10</v>
      </c>
      <c r="I42" s="55">
        <v>10</v>
      </c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2.75">
      <c r="A43" s="27"/>
      <c r="B43" s="43" t="s">
        <v>10</v>
      </c>
      <c r="C43" s="55">
        <v>0</v>
      </c>
      <c r="D43" s="55">
        <v>0</v>
      </c>
      <c r="E43" s="55">
        <v>0</v>
      </c>
      <c r="F43" s="55">
        <v>0</v>
      </c>
      <c r="G43" s="55">
        <v>20</v>
      </c>
      <c r="H43" s="55">
        <v>0</v>
      </c>
      <c r="I43" s="55">
        <v>0</v>
      </c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2.75">
      <c r="A44" s="27"/>
      <c r="B44" s="43" t="s">
        <v>11</v>
      </c>
      <c r="C44" s="56">
        <f>1-(C41/2+C42)/20</f>
        <v>0.25</v>
      </c>
      <c r="D44" s="56">
        <f aca="true" t="shared" si="8" ref="D44:I44">1-(D41/2+D42)/20</f>
        <v>0</v>
      </c>
      <c r="E44" s="56">
        <f t="shared" si="8"/>
        <v>0.44999999999999996</v>
      </c>
      <c r="F44" s="56">
        <f t="shared" si="8"/>
        <v>0.825</v>
      </c>
      <c r="G44" s="56">
        <f t="shared" si="8"/>
        <v>0</v>
      </c>
      <c r="H44" s="56">
        <f t="shared" si="8"/>
        <v>0</v>
      </c>
      <c r="I44" s="56">
        <f t="shared" si="8"/>
        <v>0</v>
      </c>
      <c r="J44" s="39"/>
      <c r="K44" s="39"/>
      <c r="L44" s="39"/>
      <c r="M44" s="39"/>
      <c r="N44" s="39"/>
      <c r="O44" s="39"/>
      <c r="P44" s="39"/>
      <c r="Q44" s="39"/>
      <c r="R44" s="39"/>
    </row>
    <row r="45" spans="1:18" s="9" customFormat="1" ht="12.75">
      <c r="A45" s="26" t="s">
        <v>26</v>
      </c>
      <c r="B45" s="42" t="s">
        <v>15</v>
      </c>
      <c r="C45" s="53">
        <v>0</v>
      </c>
      <c r="D45" s="53">
        <v>20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4"/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76" t="s">
        <v>118</v>
      </c>
      <c r="B46" s="43" t="s">
        <v>16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2.75">
      <c r="A47" s="27"/>
      <c r="B47" s="43" t="s">
        <v>10</v>
      </c>
      <c r="C47" s="55">
        <v>0</v>
      </c>
      <c r="D47" s="55">
        <v>20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2.75">
      <c r="A48" s="27"/>
      <c r="B48" s="43" t="s">
        <v>11</v>
      </c>
      <c r="C48" s="56">
        <f>1-(C45/2+C46)/20</f>
        <v>1</v>
      </c>
      <c r="D48" s="56">
        <f aca="true" t="shared" si="9" ref="D48:I48">1-(D45/2+D46)/20</f>
        <v>0.5</v>
      </c>
      <c r="E48" s="56">
        <f t="shared" si="9"/>
        <v>1</v>
      </c>
      <c r="F48" s="56">
        <f t="shared" si="9"/>
        <v>1</v>
      </c>
      <c r="G48" s="56">
        <f t="shared" si="9"/>
        <v>1</v>
      </c>
      <c r="H48" s="56">
        <f t="shared" si="9"/>
        <v>1</v>
      </c>
      <c r="I48" s="56">
        <f t="shared" si="9"/>
        <v>1</v>
      </c>
      <c r="J48" s="39"/>
      <c r="K48" s="39"/>
      <c r="L48" s="39"/>
      <c r="M48" s="39"/>
      <c r="N48" s="39"/>
      <c r="O48" s="39"/>
      <c r="P48" s="39"/>
      <c r="Q48" s="39"/>
      <c r="R48" s="39"/>
    </row>
    <row r="49" spans="1:18" s="9" customFormat="1" ht="12.75">
      <c r="A49" s="29" t="s">
        <v>13</v>
      </c>
      <c r="B49" s="45" t="s">
        <v>15</v>
      </c>
      <c r="C49" s="53">
        <v>0</v>
      </c>
      <c r="D49" s="53">
        <v>0</v>
      </c>
      <c r="E49" s="53">
        <v>5</v>
      </c>
      <c r="F49" s="53">
        <v>0</v>
      </c>
      <c r="G49" s="53">
        <v>20</v>
      </c>
      <c r="H49" s="53">
        <v>0</v>
      </c>
      <c r="I49" s="53">
        <v>5</v>
      </c>
      <c r="J49" s="54"/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30"/>
      <c r="B50" s="23" t="s">
        <v>16</v>
      </c>
      <c r="C50" s="55">
        <v>0</v>
      </c>
      <c r="D50" s="55">
        <v>2</v>
      </c>
      <c r="E50" s="55">
        <v>1</v>
      </c>
      <c r="F50" s="55">
        <v>0</v>
      </c>
      <c r="G50" s="55">
        <v>2</v>
      </c>
      <c r="H50" s="55">
        <v>0</v>
      </c>
      <c r="I50" s="55">
        <v>1</v>
      </c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30"/>
      <c r="B51" s="23" t="s">
        <v>10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31"/>
      <c r="B52" s="46" t="s">
        <v>11</v>
      </c>
      <c r="C52" s="56">
        <f>1-(C49/2+C50)/20</f>
        <v>1</v>
      </c>
      <c r="D52" s="56">
        <f aca="true" t="shared" si="10" ref="D52:I52">1-(D49/2+D50)/20</f>
        <v>0.9</v>
      </c>
      <c r="E52" s="56">
        <f t="shared" si="10"/>
        <v>0.825</v>
      </c>
      <c r="F52" s="56">
        <f t="shared" si="10"/>
        <v>1</v>
      </c>
      <c r="G52" s="56">
        <f t="shared" si="10"/>
        <v>0.4</v>
      </c>
      <c r="H52" s="56">
        <f t="shared" si="10"/>
        <v>1</v>
      </c>
      <c r="I52" s="56">
        <f t="shared" si="10"/>
        <v>0.825</v>
      </c>
      <c r="J52" s="56" t="s">
        <v>12</v>
      </c>
      <c r="K52" s="56" t="s">
        <v>12</v>
      </c>
      <c r="L52" s="39"/>
      <c r="M52" s="39"/>
      <c r="N52" s="39"/>
      <c r="O52" s="39"/>
      <c r="P52" s="39"/>
      <c r="Q52" s="39"/>
      <c r="R52" s="39"/>
    </row>
    <row r="53" spans="1:18" s="9" customFormat="1" ht="12.75">
      <c r="A53" s="29" t="s">
        <v>17</v>
      </c>
      <c r="B53" s="45" t="s">
        <v>15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5</v>
      </c>
      <c r="J53" s="54"/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30"/>
      <c r="B54" s="23" t="s">
        <v>16</v>
      </c>
      <c r="C54" s="55">
        <v>0</v>
      </c>
      <c r="D54" s="55">
        <v>2</v>
      </c>
      <c r="E54" s="55">
        <v>1</v>
      </c>
      <c r="F54" s="55">
        <v>0</v>
      </c>
      <c r="G54" s="55">
        <v>1</v>
      </c>
      <c r="H54" s="55">
        <v>0</v>
      </c>
      <c r="I54" s="55">
        <v>1</v>
      </c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30"/>
      <c r="B55" s="23" t="s">
        <v>10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75">
      <c r="A56" s="31"/>
      <c r="B56" s="46" t="s">
        <v>11</v>
      </c>
      <c r="C56" s="56">
        <f>1-(C53/2+C54)/20</f>
        <v>1</v>
      </c>
      <c r="D56" s="56">
        <f aca="true" t="shared" si="11" ref="D56:I56">1-(D53/2+D54)/20</f>
        <v>0.9</v>
      </c>
      <c r="E56" s="56">
        <f t="shared" si="11"/>
        <v>0.95</v>
      </c>
      <c r="F56" s="56">
        <f t="shared" si="11"/>
        <v>1</v>
      </c>
      <c r="G56" s="56">
        <f t="shared" si="11"/>
        <v>0.95</v>
      </c>
      <c r="H56" s="56">
        <f t="shared" si="11"/>
        <v>1</v>
      </c>
      <c r="I56" s="56">
        <f t="shared" si="11"/>
        <v>0.825</v>
      </c>
      <c r="J56" s="39"/>
      <c r="K56" s="39"/>
      <c r="L56" s="39"/>
      <c r="M56" s="39"/>
      <c r="N56" s="39"/>
      <c r="O56" s="39"/>
      <c r="P56" s="39"/>
      <c r="Q56" s="39"/>
      <c r="R56" s="39"/>
    </row>
    <row r="57" spans="1:18" s="9" customFormat="1" ht="12.75">
      <c r="A57" s="29" t="s">
        <v>18</v>
      </c>
      <c r="B57" s="45" t="s">
        <v>15</v>
      </c>
      <c r="C57" s="53">
        <v>5</v>
      </c>
      <c r="D57" s="53">
        <v>20</v>
      </c>
      <c r="E57" s="53">
        <v>5</v>
      </c>
      <c r="F57" s="53">
        <v>0</v>
      </c>
      <c r="G57" s="53">
        <v>0</v>
      </c>
      <c r="H57" s="53">
        <v>5</v>
      </c>
      <c r="I57" s="53">
        <v>0</v>
      </c>
      <c r="J57" s="54"/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30"/>
      <c r="B58" s="23" t="s">
        <v>16</v>
      </c>
      <c r="C58" s="55">
        <v>2</v>
      </c>
      <c r="D58" s="55">
        <v>10</v>
      </c>
      <c r="E58" s="55">
        <v>0</v>
      </c>
      <c r="F58" s="55">
        <v>2</v>
      </c>
      <c r="G58" s="55">
        <v>4</v>
      </c>
      <c r="H58" s="55">
        <v>2</v>
      </c>
      <c r="I58" s="55">
        <v>3</v>
      </c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75">
      <c r="A59" s="30"/>
      <c r="B59" s="23" t="s">
        <v>10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75">
      <c r="A60" s="31"/>
      <c r="B60" s="46" t="s">
        <v>11</v>
      </c>
      <c r="C60" s="56">
        <f>1-(C57/2+C58)/20</f>
        <v>0.775</v>
      </c>
      <c r="D60" s="56">
        <f aca="true" t="shared" si="12" ref="D60:I60">1-(D57/2+D58)/20</f>
        <v>0</v>
      </c>
      <c r="E60" s="56">
        <f t="shared" si="12"/>
        <v>0.875</v>
      </c>
      <c r="F60" s="56">
        <f t="shared" si="12"/>
        <v>0.9</v>
      </c>
      <c r="G60" s="56">
        <f t="shared" si="12"/>
        <v>0.8</v>
      </c>
      <c r="H60" s="56">
        <f t="shared" si="12"/>
        <v>0.775</v>
      </c>
      <c r="I60" s="56">
        <f t="shared" si="12"/>
        <v>0.85</v>
      </c>
      <c r="J60" s="39"/>
      <c r="K60" s="39"/>
      <c r="L60" s="39"/>
      <c r="M60" s="39"/>
      <c r="N60" s="39"/>
      <c r="O60" s="39"/>
      <c r="P60" s="39"/>
      <c r="Q60" s="39"/>
      <c r="R60" s="39"/>
    </row>
    <row r="61" spans="1:18" s="9" customFormat="1" ht="12.75">
      <c r="A61" s="29" t="s">
        <v>19</v>
      </c>
      <c r="B61" s="45" t="s">
        <v>15</v>
      </c>
      <c r="C61" s="53">
        <v>5</v>
      </c>
      <c r="D61" s="53">
        <v>20</v>
      </c>
      <c r="E61" s="53">
        <v>20</v>
      </c>
      <c r="F61" s="53">
        <v>5</v>
      </c>
      <c r="G61" s="53">
        <v>20</v>
      </c>
      <c r="H61" s="53">
        <v>20</v>
      </c>
      <c r="I61" s="53">
        <v>5</v>
      </c>
      <c r="J61" s="54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30"/>
      <c r="B62" s="23" t="s">
        <v>16</v>
      </c>
      <c r="C62" s="55">
        <v>0</v>
      </c>
      <c r="D62" s="55">
        <v>10</v>
      </c>
      <c r="E62" s="55">
        <v>10</v>
      </c>
      <c r="F62" s="55">
        <v>1</v>
      </c>
      <c r="G62" s="55">
        <v>10</v>
      </c>
      <c r="H62" s="55">
        <v>3</v>
      </c>
      <c r="I62" s="55">
        <v>10</v>
      </c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75">
      <c r="A63" s="30"/>
      <c r="B63" s="23" t="s">
        <v>10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75">
      <c r="A64" s="31"/>
      <c r="B64" s="46" t="s">
        <v>11</v>
      </c>
      <c r="C64" s="56">
        <f>1-(C61/2+C62)/20</f>
        <v>0.875</v>
      </c>
      <c r="D64" s="56">
        <f aca="true" t="shared" si="13" ref="D64:I64">1-(D61/2+D62)/20</f>
        <v>0</v>
      </c>
      <c r="E64" s="56">
        <f t="shared" si="13"/>
        <v>0</v>
      </c>
      <c r="F64" s="56">
        <f t="shared" si="13"/>
        <v>0.825</v>
      </c>
      <c r="G64" s="56">
        <f t="shared" si="13"/>
        <v>0</v>
      </c>
      <c r="H64" s="56">
        <f t="shared" si="13"/>
        <v>0.35</v>
      </c>
      <c r="I64" s="56">
        <f t="shared" si="13"/>
        <v>0.375</v>
      </c>
      <c r="J64" s="39"/>
      <c r="K64" s="39"/>
      <c r="L64" s="39"/>
      <c r="M64" s="39"/>
      <c r="N64" s="39"/>
      <c r="O64" s="39"/>
      <c r="P64" s="39"/>
      <c r="Q64" s="39"/>
      <c r="R64" s="39"/>
    </row>
    <row r="65" spans="1:18" s="9" customFormat="1" ht="12.75">
      <c r="A65" s="29" t="s">
        <v>20</v>
      </c>
      <c r="B65" s="45" t="s">
        <v>15</v>
      </c>
      <c r="C65" s="53">
        <v>5</v>
      </c>
      <c r="D65" s="53">
        <v>0</v>
      </c>
      <c r="E65" s="53">
        <v>5</v>
      </c>
      <c r="F65" s="53">
        <v>0</v>
      </c>
      <c r="G65" s="53">
        <v>20</v>
      </c>
      <c r="H65" s="53">
        <v>20</v>
      </c>
      <c r="I65" s="53">
        <v>5</v>
      </c>
      <c r="J65" s="54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30"/>
      <c r="B66" s="23" t="s">
        <v>16</v>
      </c>
      <c r="C66" s="55">
        <v>0</v>
      </c>
      <c r="D66" s="55">
        <v>4</v>
      </c>
      <c r="E66" s="55">
        <v>0</v>
      </c>
      <c r="F66" s="55">
        <v>0</v>
      </c>
      <c r="G66" s="55">
        <v>0</v>
      </c>
      <c r="H66" s="55">
        <v>0</v>
      </c>
      <c r="I66" s="55">
        <v>2</v>
      </c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75">
      <c r="A67" s="30"/>
      <c r="B67" s="23" t="s">
        <v>10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2.75">
      <c r="A68" s="31"/>
      <c r="B68" s="46" t="s">
        <v>11</v>
      </c>
      <c r="C68" s="56">
        <f>1-(C65/2+C66)/20</f>
        <v>0.875</v>
      </c>
      <c r="D68" s="56">
        <f aca="true" t="shared" si="14" ref="D68:I68">1-(D65/2+D66)/20</f>
        <v>0.8</v>
      </c>
      <c r="E68" s="56">
        <f t="shared" si="14"/>
        <v>0.875</v>
      </c>
      <c r="F68" s="56">
        <f t="shared" si="14"/>
        <v>1</v>
      </c>
      <c r="G68" s="56">
        <f t="shared" si="14"/>
        <v>0.5</v>
      </c>
      <c r="H68" s="56">
        <f t="shared" si="14"/>
        <v>0.5</v>
      </c>
      <c r="I68" s="56">
        <f t="shared" si="14"/>
        <v>0.775</v>
      </c>
      <c r="J68" s="39"/>
      <c r="K68" s="39"/>
      <c r="L68" s="39"/>
      <c r="M68" s="39"/>
      <c r="N68" s="39"/>
      <c r="O68" s="39"/>
      <c r="P68" s="39"/>
      <c r="Q68" s="39"/>
      <c r="R68" s="39"/>
    </row>
    <row r="69" spans="1:18" s="9" customFormat="1" ht="12.75">
      <c r="A69" s="29" t="s">
        <v>21</v>
      </c>
      <c r="B69" s="45" t="s">
        <v>15</v>
      </c>
      <c r="C69" s="53">
        <v>5</v>
      </c>
      <c r="D69" s="53">
        <v>0</v>
      </c>
      <c r="E69" s="53">
        <v>5</v>
      </c>
      <c r="F69" s="53">
        <v>0</v>
      </c>
      <c r="G69" s="53">
        <v>0</v>
      </c>
      <c r="H69" s="53">
        <v>0</v>
      </c>
      <c r="I69" s="53">
        <v>5</v>
      </c>
      <c r="J69" s="54"/>
      <c r="K69" s="54"/>
      <c r="L69" s="54"/>
      <c r="M69" s="54"/>
      <c r="N69" s="54"/>
      <c r="O69" s="54"/>
      <c r="P69" s="54"/>
      <c r="Q69" s="54"/>
      <c r="R69" s="54"/>
    </row>
    <row r="70" spans="1:18" ht="12.75">
      <c r="A70" s="30"/>
      <c r="B70" s="23" t="s">
        <v>16</v>
      </c>
      <c r="C70" s="55">
        <v>0</v>
      </c>
      <c r="D70" s="55">
        <v>10</v>
      </c>
      <c r="E70" s="55">
        <v>0</v>
      </c>
      <c r="F70" s="55">
        <v>2</v>
      </c>
      <c r="G70" s="55">
        <v>6</v>
      </c>
      <c r="H70" s="55">
        <v>0</v>
      </c>
      <c r="I70" s="55">
        <v>1</v>
      </c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2.75">
      <c r="A71" s="30"/>
      <c r="B71" s="23" t="s">
        <v>10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2.75">
      <c r="A72" s="31"/>
      <c r="B72" s="46" t="s">
        <v>11</v>
      </c>
      <c r="C72" s="56">
        <f>1-(C69/2+C70)/20</f>
        <v>0.875</v>
      </c>
      <c r="D72" s="56">
        <f aca="true" t="shared" si="15" ref="D72:I72">1-(D69/2+D70)/20</f>
        <v>0.5</v>
      </c>
      <c r="E72" s="56">
        <f t="shared" si="15"/>
        <v>0.875</v>
      </c>
      <c r="F72" s="56">
        <f t="shared" si="15"/>
        <v>0.9</v>
      </c>
      <c r="G72" s="56">
        <f t="shared" si="15"/>
        <v>0.7</v>
      </c>
      <c r="H72" s="56">
        <f t="shared" si="15"/>
        <v>1</v>
      </c>
      <c r="I72" s="56">
        <f t="shared" si="15"/>
        <v>0.825</v>
      </c>
      <c r="J72" s="39"/>
      <c r="K72" s="39"/>
      <c r="L72" s="39"/>
      <c r="M72" s="39"/>
      <c r="N72" s="39"/>
      <c r="O72" s="39"/>
      <c r="P72" s="39"/>
      <c r="Q72" s="39"/>
      <c r="R72" s="39"/>
    </row>
    <row r="73" spans="1:18" s="9" customFormat="1" ht="12.75">
      <c r="A73" s="29" t="s">
        <v>22</v>
      </c>
      <c r="B73" s="45" t="s">
        <v>15</v>
      </c>
      <c r="C73" s="53">
        <v>20</v>
      </c>
      <c r="D73" s="53">
        <v>20</v>
      </c>
      <c r="E73" s="53">
        <v>20</v>
      </c>
      <c r="F73" s="53">
        <v>20</v>
      </c>
      <c r="G73" s="53">
        <v>20</v>
      </c>
      <c r="H73" s="53">
        <v>20</v>
      </c>
      <c r="I73" s="53">
        <v>20</v>
      </c>
      <c r="J73" s="54"/>
      <c r="K73" s="54"/>
      <c r="L73" s="54"/>
      <c r="M73" s="54"/>
      <c r="N73" s="54"/>
      <c r="O73" s="54"/>
      <c r="P73" s="54"/>
      <c r="Q73" s="54"/>
      <c r="R73" s="54"/>
    </row>
    <row r="74" spans="1:18" ht="12.75">
      <c r="A74" s="30"/>
      <c r="B74" s="23" t="s">
        <v>16</v>
      </c>
      <c r="C74" s="55">
        <v>8</v>
      </c>
      <c r="D74" s="55">
        <v>10</v>
      </c>
      <c r="E74" s="55">
        <v>8</v>
      </c>
      <c r="F74" s="55">
        <v>9</v>
      </c>
      <c r="G74" s="55">
        <v>10</v>
      </c>
      <c r="H74" s="55">
        <v>2</v>
      </c>
      <c r="I74" s="55">
        <v>10</v>
      </c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2.75">
      <c r="A75" s="30"/>
      <c r="B75" s="23" t="s">
        <v>10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2.75">
      <c r="A76" s="31"/>
      <c r="B76" s="46" t="s">
        <v>11</v>
      </c>
      <c r="C76" s="56">
        <f>1-(C73/2+C74)/20</f>
        <v>0.09999999999999998</v>
      </c>
      <c r="D76" s="56">
        <f aca="true" t="shared" si="16" ref="D76:I76">1-(D73/2+D74)/20</f>
        <v>0</v>
      </c>
      <c r="E76" s="56">
        <f t="shared" si="16"/>
        <v>0.09999999999999998</v>
      </c>
      <c r="F76" s="56">
        <f t="shared" si="16"/>
        <v>0.050000000000000044</v>
      </c>
      <c r="G76" s="56">
        <f t="shared" si="16"/>
        <v>0</v>
      </c>
      <c r="H76" s="56">
        <f t="shared" si="16"/>
        <v>0.4</v>
      </c>
      <c r="I76" s="56">
        <f t="shared" si="16"/>
        <v>0</v>
      </c>
      <c r="J76" s="39"/>
      <c r="K76" s="39"/>
      <c r="L76" s="39"/>
      <c r="M76" s="39"/>
      <c r="N76" s="39"/>
      <c r="O76" s="39"/>
      <c r="P76" s="39"/>
      <c r="Q76" s="39"/>
      <c r="R76" s="39"/>
    </row>
    <row r="77" spans="1:18" s="9" customFormat="1" ht="12.75">
      <c r="A77" s="29" t="s">
        <v>23</v>
      </c>
      <c r="B77" s="45" t="s">
        <v>15</v>
      </c>
      <c r="C77" s="53">
        <v>20</v>
      </c>
      <c r="D77" s="53">
        <v>20</v>
      </c>
      <c r="E77" s="53">
        <v>5</v>
      </c>
      <c r="F77" s="53">
        <v>5</v>
      </c>
      <c r="G77" s="53">
        <v>20</v>
      </c>
      <c r="H77" s="53">
        <v>20</v>
      </c>
      <c r="I77" s="53">
        <v>20</v>
      </c>
      <c r="J77" s="54"/>
      <c r="K77" s="54"/>
      <c r="L77" s="54"/>
      <c r="M77" s="54"/>
      <c r="N77" s="54"/>
      <c r="O77" s="54"/>
      <c r="P77" s="54"/>
      <c r="Q77" s="54"/>
      <c r="R77" s="54"/>
    </row>
    <row r="78" spans="1:18" ht="12.75">
      <c r="A78" s="30"/>
      <c r="B78" s="23" t="s">
        <v>16</v>
      </c>
      <c r="C78" s="55">
        <v>7</v>
      </c>
      <c r="D78" s="55">
        <v>7</v>
      </c>
      <c r="E78" s="55">
        <v>0</v>
      </c>
      <c r="F78" s="55">
        <v>0</v>
      </c>
      <c r="G78" s="55">
        <v>10</v>
      </c>
      <c r="H78" s="55">
        <v>10</v>
      </c>
      <c r="I78" s="55">
        <v>9</v>
      </c>
      <c r="J78" s="39"/>
      <c r="K78" s="39"/>
      <c r="L78" s="39"/>
      <c r="M78" s="39"/>
      <c r="N78" s="39"/>
      <c r="O78" s="39"/>
      <c r="P78" s="39"/>
      <c r="Q78" s="39"/>
      <c r="R78" s="39"/>
    </row>
    <row r="79" spans="1:18" ht="12.75">
      <c r="A79" s="30"/>
      <c r="B79" s="23" t="s">
        <v>10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12.75">
      <c r="A80" s="31"/>
      <c r="B80" s="46" t="s">
        <v>11</v>
      </c>
      <c r="C80" s="56">
        <f>1-(C77/2+C78)/20</f>
        <v>0.15000000000000002</v>
      </c>
      <c r="D80" s="56">
        <f aca="true" t="shared" si="17" ref="D80:I80">1-(D77/2+D78)/20</f>
        <v>0.15000000000000002</v>
      </c>
      <c r="E80" s="56">
        <f t="shared" si="17"/>
        <v>0.875</v>
      </c>
      <c r="F80" s="56">
        <f t="shared" si="17"/>
        <v>0.875</v>
      </c>
      <c r="G80" s="56">
        <f t="shared" si="17"/>
        <v>0</v>
      </c>
      <c r="H80" s="56">
        <f t="shared" si="17"/>
        <v>0</v>
      </c>
      <c r="I80" s="56">
        <f t="shared" si="17"/>
        <v>0.050000000000000044</v>
      </c>
      <c r="J80" s="39"/>
      <c r="K80" s="39"/>
      <c r="L80" s="39"/>
      <c r="M80" s="39"/>
      <c r="N80" s="39"/>
      <c r="O80" s="39"/>
      <c r="P80" s="39"/>
      <c r="Q80" s="39"/>
      <c r="R80" s="39"/>
    </row>
    <row r="81" spans="1:18" s="9" customFormat="1" ht="12.75">
      <c r="A81" s="29" t="s">
        <v>24</v>
      </c>
      <c r="B81" s="45" t="s">
        <v>15</v>
      </c>
      <c r="C81" s="53">
        <v>20</v>
      </c>
      <c r="D81" s="53">
        <v>0</v>
      </c>
      <c r="E81" s="53">
        <v>5</v>
      </c>
      <c r="F81" s="53">
        <v>0</v>
      </c>
      <c r="G81" s="53">
        <v>20</v>
      </c>
      <c r="H81" s="53">
        <v>0</v>
      </c>
      <c r="I81" s="53">
        <v>0</v>
      </c>
      <c r="J81" s="54"/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30"/>
      <c r="B82" s="23" t="s">
        <v>16</v>
      </c>
      <c r="C82" s="55">
        <v>0</v>
      </c>
      <c r="D82" s="55">
        <v>6</v>
      </c>
      <c r="E82" s="55">
        <v>1</v>
      </c>
      <c r="F82" s="55">
        <v>2</v>
      </c>
      <c r="G82" s="55">
        <v>2</v>
      </c>
      <c r="H82" s="55">
        <v>2</v>
      </c>
      <c r="I82" s="55">
        <v>2</v>
      </c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12.75">
      <c r="A83" s="30"/>
      <c r="B83" s="23" t="s">
        <v>10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2.75">
      <c r="A84" s="31"/>
      <c r="B84" s="46" t="s">
        <v>11</v>
      </c>
      <c r="C84" s="56">
        <f>1-(C81/2+C82)/20</f>
        <v>0.5</v>
      </c>
      <c r="D84" s="56">
        <f aca="true" t="shared" si="18" ref="D84:I84">1-(D81/2+D82)/20</f>
        <v>0.7</v>
      </c>
      <c r="E84" s="56">
        <f t="shared" si="18"/>
        <v>0.825</v>
      </c>
      <c r="F84" s="56">
        <f t="shared" si="18"/>
        <v>0.9</v>
      </c>
      <c r="G84" s="56">
        <f t="shared" si="18"/>
        <v>0.4</v>
      </c>
      <c r="H84" s="56">
        <f t="shared" si="18"/>
        <v>0.9</v>
      </c>
      <c r="I84" s="56">
        <f t="shared" si="18"/>
        <v>0.9</v>
      </c>
      <c r="J84" s="39"/>
      <c r="K84" s="39"/>
      <c r="L84" s="39"/>
      <c r="M84" s="39"/>
      <c r="N84" s="39"/>
      <c r="O84" s="39"/>
      <c r="P84" s="39"/>
      <c r="Q84" s="39"/>
      <c r="R84" s="39"/>
    </row>
    <row r="85" spans="1:18" s="9" customFormat="1" ht="12.75">
      <c r="A85" s="29" t="s">
        <v>27</v>
      </c>
      <c r="B85" s="45" t="s">
        <v>15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4"/>
      <c r="K85" s="54"/>
      <c r="L85" s="54"/>
      <c r="M85" s="54"/>
      <c r="N85" s="54"/>
      <c r="O85" s="54"/>
      <c r="P85" s="54"/>
      <c r="Q85" s="54"/>
      <c r="R85" s="54"/>
    </row>
    <row r="86" spans="1:18" ht="12.75">
      <c r="A86" s="30"/>
      <c r="B86" s="23" t="s">
        <v>16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39"/>
      <c r="K86" s="39"/>
      <c r="L86" s="39"/>
      <c r="M86" s="39"/>
      <c r="N86" s="39"/>
      <c r="O86" s="39"/>
      <c r="P86" s="39"/>
      <c r="Q86" s="39"/>
      <c r="R86" s="39"/>
    </row>
    <row r="87" spans="1:18" ht="12.75">
      <c r="A87" s="30"/>
      <c r="B87" s="23" t="s">
        <v>10</v>
      </c>
      <c r="C87" s="55">
        <v>0</v>
      </c>
      <c r="D87" s="55">
        <v>20</v>
      </c>
      <c r="E87" s="55">
        <v>20</v>
      </c>
      <c r="F87" s="55">
        <v>0</v>
      </c>
      <c r="G87" s="55">
        <v>0</v>
      </c>
      <c r="H87" s="55">
        <v>0</v>
      </c>
      <c r="I87" s="55">
        <v>0</v>
      </c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2.75">
      <c r="A88" s="31"/>
      <c r="B88" s="46" t="s">
        <v>11</v>
      </c>
      <c r="C88" s="56">
        <f>1-(C85/2+C86)/20</f>
        <v>1</v>
      </c>
      <c r="D88" s="56">
        <f aca="true" t="shared" si="19" ref="D88:I88">1-(D85/2+D86)/20</f>
        <v>1</v>
      </c>
      <c r="E88" s="56">
        <f t="shared" si="19"/>
        <v>1</v>
      </c>
      <c r="F88" s="56">
        <f t="shared" si="19"/>
        <v>1</v>
      </c>
      <c r="G88" s="56">
        <f t="shared" si="19"/>
        <v>1</v>
      </c>
      <c r="H88" s="56">
        <f t="shared" si="19"/>
        <v>1</v>
      </c>
      <c r="I88" s="56">
        <f t="shared" si="19"/>
        <v>1</v>
      </c>
      <c r="J88" s="39"/>
      <c r="K88" s="39"/>
      <c r="L88" s="39"/>
      <c r="M88" s="39"/>
      <c r="N88" s="39"/>
      <c r="O88" s="39"/>
      <c r="P88" s="39"/>
      <c r="Q88" s="39"/>
      <c r="R88" s="39"/>
    </row>
    <row r="89" spans="1:18" s="21" customFormat="1" ht="12.75">
      <c r="A89" s="69" t="s">
        <v>11</v>
      </c>
      <c r="B89" s="47" t="s">
        <v>29</v>
      </c>
      <c r="C89" s="57">
        <f aca="true" t="shared" si="20" ref="C89:I89">AVERAGE(C12,C16,C20,C24,C28,C32,C36,C40,C44,C48,C52,C56,C60,C64,C68,C72,C76,C80,C84,C88)</f>
        <v>0.69125</v>
      </c>
      <c r="D89" s="57">
        <f t="shared" si="20"/>
        <v>0.36500000000000005</v>
      </c>
      <c r="E89" s="57">
        <f t="shared" si="20"/>
        <v>0.6912499999999999</v>
      </c>
      <c r="F89" s="57">
        <f t="shared" si="20"/>
        <v>0.8787499999999999</v>
      </c>
      <c r="G89" s="57">
        <f t="shared" si="20"/>
        <v>0.47375</v>
      </c>
      <c r="H89" s="57">
        <f t="shared" si="20"/>
        <v>0.60875</v>
      </c>
      <c r="I89" s="57">
        <f t="shared" si="20"/>
        <v>0.6225</v>
      </c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2.75">
      <c r="A90" s="25"/>
      <c r="B90" s="48" t="s">
        <v>53</v>
      </c>
      <c r="C90" s="59">
        <f>LOOKUP(C89,RebuspoängSorterat,Placeringar)</f>
        <v>6</v>
      </c>
      <c r="D90" s="59">
        <f aca="true" t="shared" si="21" ref="D90:I90">LOOKUP(D89,RebuspoängSorterat,Placeringar)</f>
        <v>1</v>
      </c>
      <c r="E90" s="59">
        <f t="shared" si="21"/>
        <v>5</v>
      </c>
      <c r="F90" s="59">
        <f t="shared" si="21"/>
        <v>7</v>
      </c>
      <c r="G90" s="59">
        <f t="shared" si="21"/>
        <v>2</v>
      </c>
      <c r="H90" s="59">
        <f t="shared" si="21"/>
        <v>3</v>
      </c>
      <c r="I90" s="59">
        <f t="shared" si="21"/>
        <v>4</v>
      </c>
      <c r="J90" s="39"/>
      <c r="K90" s="39"/>
      <c r="L90" s="39"/>
      <c r="M90" s="39"/>
      <c r="N90" s="39"/>
      <c r="O90" s="39"/>
      <c r="P90" s="39"/>
      <c r="Q90" s="39"/>
      <c r="R90" s="39"/>
    </row>
    <row r="91" spans="1:18" ht="12.75">
      <c r="A91" s="25"/>
      <c r="B91" s="48"/>
      <c r="C91" s="56"/>
      <c r="D91" s="56"/>
      <c r="E91" s="56"/>
      <c r="F91" s="56"/>
      <c r="G91" s="56"/>
      <c r="H91" s="56"/>
      <c r="I91" s="56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2.75" hidden="1">
      <c r="A92" s="25" t="s">
        <v>15</v>
      </c>
      <c r="B92" s="48"/>
      <c r="C92" s="56"/>
      <c r="D92" s="56"/>
      <c r="E92" s="56"/>
      <c r="F92" s="56"/>
      <c r="G92" s="56"/>
      <c r="H92" s="56"/>
      <c r="I92" s="56"/>
      <c r="J92" s="39"/>
      <c r="K92" s="39"/>
      <c r="L92" s="39"/>
      <c r="M92" s="39"/>
      <c r="N92" s="39"/>
      <c r="O92" s="39"/>
      <c r="P92" s="39"/>
      <c r="Q92" s="39"/>
      <c r="R92" s="39"/>
    </row>
    <row r="93" spans="1:18" ht="12.75" hidden="1">
      <c r="A93" s="25">
        <v>1</v>
      </c>
      <c r="B93" s="39"/>
      <c r="C93" s="48">
        <f aca="true" t="shared" si="22" ref="C93:I93">C9</f>
        <v>0</v>
      </c>
      <c r="D93" s="48">
        <f t="shared" si="22"/>
        <v>20</v>
      </c>
      <c r="E93" s="48">
        <f t="shared" si="22"/>
        <v>5</v>
      </c>
      <c r="F93" s="48">
        <f t="shared" si="22"/>
        <v>0</v>
      </c>
      <c r="G93" s="48">
        <f t="shared" si="22"/>
        <v>0</v>
      </c>
      <c r="H93" s="48">
        <f t="shared" si="22"/>
        <v>0</v>
      </c>
      <c r="I93" s="48">
        <f t="shared" si="22"/>
        <v>5</v>
      </c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2.75" hidden="1">
      <c r="A94" s="25">
        <v>2</v>
      </c>
      <c r="B94" s="39"/>
      <c r="C94" s="48">
        <f aca="true" t="shared" si="23" ref="C94:I94">C13</f>
        <v>0</v>
      </c>
      <c r="D94" s="48">
        <f t="shared" si="23"/>
        <v>0</v>
      </c>
      <c r="E94" s="48">
        <f t="shared" si="23"/>
        <v>0</v>
      </c>
      <c r="F94" s="48">
        <f t="shared" si="23"/>
        <v>0</v>
      </c>
      <c r="G94" s="48">
        <f t="shared" si="23"/>
        <v>0</v>
      </c>
      <c r="H94" s="48">
        <f t="shared" si="23"/>
        <v>0</v>
      </c>
      <c r="I94" s="48">
        <f t="shared" si="23"/>
        <v>5</v>
      </c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2.75" hidden="1">
      <c r="A95" s="25">
        <v>3</v>
      </c>
      <c r="B95" s="39"/>
      <c r="C95" s="48">
        <f aca="true" t="shared" si="24" ref="C95:I95">C17</f>
        <v>0</v>
      </c>
      <c r="D95" s="48">
        <f t="shared" si="24"/>
        <v>20</v>
      </c>
      <c r="E95" s="48">
        <f t="shared" si="24"/>
        <v>5</v>
      </c>
      <c r="F95" s="48">
        <f t="shared" si="24"/>
        <v>5</v>
      </c>
      <c r="G95" s="48">
        <f t="shared" si="24"/>
        <v>20</v>
      </c>
      <c r="H95" s="48">
        <f t="shared" si="24"/>
        <v>20</v>
      </c>
      <c r="I95" s="48">
        <f t="shared" si="24"/>
        <v>5</v>
      </c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2.75" hidden="1">
      <c r="A96" s="25">
        <v>4</v>
      </c>
      <c r="B96" s="39"/>
      <c r="C96" s="48">
        <f aca="true" t="shared" si="25" ref="C96:I96">C21</f>
        <v>20</v>
      </c>
      <c r="D96" s="48">
        <f t="shared" si="25"/>
        <v>20</v>
      </c>
      <c r="E96" s="48">
        <f t="shared" si="25"/>
        <v>20</v>
      </c>
      <c r="F96" s="48">
        <f t="shared" si="25"/>
        <v>5</v>
      </c>
      <c r="G96" s="48">
        <f t="shared" si="25"/>
        <v>20</v>
      </c>
      <c r="H96" s="48">
        <f t="shared" si="25"/>
        <v>20</v>
      </c>
      <c r="I96" s="48">
        <f t="shared" si="25"/>
        <v>20</v>
      </c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2.75" hidden="1">
      <c r="A97" s="25">
        <v>5</v>
      </c>
      <c r="B97" s="39"/>
      <c r="C97" s="48">
        <f aca="true" t="shared" si="26" ref="C97:I97">C25</f>
        <v>20</v>
      </c>
      <c r="D97" s="48">
        <f t="shared" si="26"/>
        <v>0</v>
      </c>
      <c r="E97" s="48">
        <f t="shared" si="26"/>
        <v>5</v>
      </c>
      <c r="F97" s="48">
        <f t="shared" si="26"/>
        <v>0</v>
      </c>
      <c r="G97" s="48">
        <f t="shared" si="26"/>
        <v>20</v>
      </c>
      <c r="H97" s="48">
        <f t="shared" si="26"/>
        <v>0</v>
      </c>
      <c r="I97" s="48">
        <f t="shared" si="26"/>
        <v>5</v>
      </c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2.75" hidden="1">
      <c r="A98" s="25">
        <v>6</v>
      </c>
      <c r="B98" s="39"/>
      <c r="C98" s="48">
        <f aca="true" t="shared" si="27" ref="C98:I98">C29</f>
        <v>5</v>
      </c>
      <c r="D98" s="48">
        <f t="shared" si="27"/>
        <v>20</v>
      </c>
      <c r="E98" s="48">
        <f t="shared" si="27"/>
        <v>5</v>
      </c>
      <c r="F98" s="48">
        <f t="shared" si="27"/>
        <v>5</v>
      </c>
      <c r="G98" s="48">
        <f t="shared" si="27"/>
        <v>20</v>
      </c>
      <c r="H98" s="48">
        <f t="shared" si="27"/>
        <v>0</v>
      </c>
      <c r="I98" s="48">
        <f t="shared" si="27"/>
        <v>5</v>
      </c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2.75" hidden="1">
      <c r="A99" s="25">
        <v>7</v>
      </c>
      <c r="B99" s="39"/>
      <c r="C99" s="48">
        <f aca="true" t="shared" si="28" ref="C99:I99">C33</f>
        <v>5</v>
      </c>
      <c r="D99" s="48">
        <f t="shared" si="28"/>
        <v>20</v>
      </c>
      <c r="E99" s="48">
        <f t="shared" si="28"/>
        <v>20</v>
      </c>
      <c r="F99" s="48">
        <f t="shared" si="28"/>
        <v>5</v>
      </c>
      <c r="G99" s="48">
        <f t="shared" si="28"/>
        <v>5</v>
      </c>
      <c r="H99" s="48">
        <f t="shared" si="28"/>
        <v>0</v>
      </c>
      <c r="I99" s="48">
        <f t="shared" si="28"/>
        <v>5</v>
      </c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2.75" hidden="1">
      <c r="A100" s="25">
        <v>8</v>
      </c>
      <c r="B100" s="39"/>
      <c r="C100" s="48">
        <f aca="true" t="shared" si="29" ref="C100:I100">C37</f>
        <v>5</v>
      </c>
      <c r="D100" s="48">
        <f t="shared" si="29"/>
        <v>0</v>
      </c>
      <c r="E100" s="48">
        <f t="shared" si="29"/>
        <v>5</v>
      </c>
      <c r="F100" s="48">
        <f t="shared" si="29"/>
        <v>0</v>
      </c>
      <c r="G100" s="48">
        <f t="shared" si="29"/>
        <v>0</v>
      </c>
      <c r="H100" s="48">
        <f t="shared" si="29"/>
        <v>0</v>
      </c>
      <c r="I100" s="48">
        <f t="shared" si="29"/>
        <v>5</v>
      </c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12.75" hidden="1">
      <c r="A101" s="25">
        <v>9</v>
      </c>
      <c r="B101" s="39"/>
      <c r="C101" s="48">
        <f aca="true" t="shared" si="30" ref="C101:I101">C41</f>
        <v>20</v>
      </c>
      <c r="D101" s="48">
        <f t="shared" si="30"/>
        <v>20</v>
      </c>
      <c r="E101" s="48">
        <f t="shared" si="30"/>
        <v>20</v>
      </c>
      <c r="F101" s="48">
        <f t="shared" si="30"/>
        <v>5</v>
      </c>
      <c r="G101" s="48">
        <f t="shared" si="30"/>
        <v>20</v>
      </c>
      <c r="H101" s="48">
        <f t="shared" si="30"/>
        <v>20</v>
      </c>
      <c r="I101" s="48">
        <f t="shared" si="30"/>
        <v>20</v>
      </c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2.75" hidden="1">
      <c r="A102" s="25">
        <v>10</v>
      </c>
      <c r="B102" s="39"/>
      <c r="C102" s="48">
        <f aca="true" t="shared" si="31" ref="C102:I102">C45</f>
        <v>0</v>
      </c>
      <c r="D102" s="48">
        <f t="shared" si="31"/>
        <v>20</v>
      </c>
      <c r="E102" s="48">
        <f t="shared" si="31"/>
        <v>0</v>
      </c>
      <c r="F102" s="48">
        <f t="shared" si="31"/>
        <v>0</v>
      </c>
      <c r="G102" s="48">
        <f t="shared" si="31"/>
        <v>0</v>
      </c>
      <c r="H102" s="48">
        <f t="shared" si="31"/>
        <v>0</v>
      </c>
      <c r="I102" s="48">
        <f t="shared" si="31"/>
        <v>0</v>
      </c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ht="12.75" hidden="1">
      <c r="A103" s="25">
        <v>11</v>
      </c>
      <c r="B103" s="39"/>
      <c r="C103" s="48">
        <f aca="true" t="shared" si="32" ref="C103:I103">C49</f>
        <v>0</v>
      </c>
      <c r="D103" s="48">
        <f t="shared" si="32"/>
        <v>0</v>
      </c>
      <c r="E103" s="48">
        <f t="shared" si="32"/>
        <v>5</v>
      </c>
      <c r="F103" s="48">
        <f t="shared" si="32"/>
        <v>0</v>
      </c>
      <c r="G103" s="48">
        <f t="shared" si="32"/>
        <v>20</v>
      </c>
      <c r="H103" s="48">
        <f t="shared" si="32"/>
        <v>0</v>
      </c>
      <c r="I103" s="48">
        <f t="shared" si="32"/>
        <v>5</v>
      </c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2.75" hidden="1">
      <c r="A104" s="25">
        <v>12</v>
      </c>
      <c r="B104" s="39"/>
      <c r="C104" s="48">
        <f aca="true" t="shared" si="33" ref="C104:I104">C53</f>
        <v>0</v>
      </c>
      <c r="D104" s="48">
        <f t="shared" si="33"/>
        <v>0</v>
      </c>
      <c r="E104" s="48">
        <f t="shared" si="33"/>
        <v>0</v>
      </c>
      <c r="F104" s="48">
        <f t="shared" si="33"/>
        <v>0</v>
      </c>
      <c r="G104" s="48">
        <f t="shared" si="33"/>
        <v>0</v>
      </c>
      <c r="H104" s="48">
        <f t="shared" si="33"/>
        <v>0</v>
      </c>
      <c r="I104" s="48">
        <f t="shared" si="33"/>
        <v>5</v>
      </c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ht="12.75" hidden="1">
      <c r="A105" s="25">
        <v>13</v>
      </c>
      <c r="B105" s="39"/>
      <c r="C105" s="48">
        <f aca="true" t="shared" si="34" ref="C105:I105">C57</f>
        <v>5</v>
      </c>
      <c r="D105" s="48">
        <f t="shared" si="34"/>
        <v>20</v>
      </c>
      <c r="E105" s="48">
        <f t="shared" si="34"/>
        <v>5</v>
      </c>
      <c r="F105" s="48">
        <f t="shared" si="34"/>
        <v>0</v>
      </c>
      <c r="G105" s="48">
        <f t="shared" si="34"/>
        <v>0</v>
      </c>
      <c r="H105" s="48">
        <f t="shared" si="34"/>
        <v>5</v>
      </c>
      <c r="I105" s="48">
        <f t="shared" si="34"/>
        <v>0</v>
      </c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12.75" hidden="1">
      <c r="A106" s="25">
        <v>14</v>
      </c>
      <c r="B106" s="39"/>
      <c r="C106" s="48">
        <f aca="true" t="shared" si="35" ref="C106:I106">C61</f>
        <v>5</v>
      </c>
      <c r="D106" s="48">
        <f t="shared" si="35"/>
        <v>20</v>
      </c>
      <c r="E106" s="48">
        <f t="shared" si="35"/>
        <v>20</v>
      </c>
      <c r="F106" s="48">
        <f t="shared" si="35"/>
        <v>5</v>
      </c>
      <c r="G106" s="48">
        <f t="shared" si="35"/>
        <v>20</v>
      </c>
      <c r="H106" s="48">
        <f t="shared" si="35"/>
        <v>20</v>
      </c>
      <c r="I106" s="48">
        <f t="shared" si="35"/>
        <v>5</v>
      </c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ht="12.75" hidden="1">
      <c r="A107" s="25">
        <v>15</v>
      </c>
      <c r="B107" s="39"/>
      <c r="C107" s="48">
        <f aca="true" t="shared" si="36" ref="C107:I107">C65</f>
        <v>5</v>
      </c>
      <c r="D107" s="48">
        <f t="shared" si="36"/>
        <v>0</v>
      </c>
      <c r="E107" s="48">
        <f t="shared" si="36"/>
        <v>5</v>
      </c>
      <c r="F107" s="48">
        <f t="shared" si="36"/>
        <v>0</v>
      </c>
      <c r="G107" s="48">
        <f t="shared" si="36"/>
        <v>20</v>
      </c>
      <c r="H107" s="48">
        <f t="shared" si="36"/>
        <v>20</v>
      </c>
      <c r="I107" s="48">
        <f t="shared" si="36"/>
        <v>5</v>
      </c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ht="12.75" hidden="1">
      <c r="A108" s="25">
        <v>16</v>
      </c>
      <c r="B108" s="39"/>
      <c r="C108" s="48">
        <f aca="true" t="shared" si="37" ref="C108:I108">C69</f>
        <v>5</v>
      </c>
      <c r="D108" s="48">
        <f t="shared" si="37"/>
        <v>0</v>
      </c>
      <c r="E108" s="48">
        <f t="shared" si="37"/>
        <v>5</v>
      </c>
      <c r="F108" s="48">
        <f t="shared" si="37"/>
        <v>0</v>
      </c>
      <c r="G108" s="48">
        <f t="shared" si="37"/>
        <v>0</v>
      </c>
      <c r="H108" s="48">
        <f t="shared" si="37"/>
        <v>0</v>
      </c>
      <c r="I108" s="48">
        <f t="shared" si="37"/>
        <v>5</v>
      </c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ht="12.75" hidden="1">
      <c r="A109" s="25">
        <v>17</v>
      </c>
      <c r="B109" s="39"/>
      <c r="C109" s="48">
        <f aca="true" t="shared" si="38" ref="C109:I109">C73</f>
        <v>20</v>
      </c>
      <c r="D109" s="48">
        <f t="shared" si="38"/>
        <v>20</v>
      </c>
      <c r="E109" s="48">
        <f t="shared" si="38"/>
        <v>20</v>
      </c>
      <c r="F109" s="48">
        <f t="shared" si="38"/>
        <v>20</v>
      </c>
      <c r="G109" s="48">
        <f t="shared" si="38"/>
        <v>20</v>
      </c>
      <c r="H109" s="48">
        <f t="shared" si="38"/>
        <v>20</v>
      </c>
      <c r="I109" s="48">
        <f t="shared" si="38"/>
        <v>20</v>
      </c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ht="12.75" hidden="1">
      <c r="A110" s="25">
        <v>18</v>
      </c>
      <c r="B110" s="39"/>
      <c r="C110" s="48">
        <f aca="true" t="shared" si="39" ref="C110:I110">C77</f>
        <v>20</v>
      </c>
      <c r="D110" s="48">
        <f t="shared" si="39"/>
        <v>20</v>
      </c>
      <c r="E110" s="48">
        <f t="shared" si="39"/>
        <v>5</v>
      </c>
      <c r="F110" s="48">
        <f t="shared" si="39"/>
        <v>5</v>
      </c>
      <c r="G110" s="48">
        <f t="shared" si="39"/>
        <v>20</v>
      </c>
      <c r="H110" s="48">
        <f t="shared" si="39"/>
        <v>20</v>
      </c>
      <c r="I110" s="48">
        <f t="shared" si="39"/>
        <v>20</v>
      </c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ht="12.75" hidden="1">
      <c r="A111" s="25">
        <v>19</v>
      </c>
      <c r="B111" s="39"/>
      <c r="C111" s="48">
        <f aca="true" t="shared" si="40" ref="C111:I111">C81</f>
        <v>20</v>
      </c>
      <c r="D111" s="48">
        <f t="shared" si="40"/>
        <v>0</v>
      </c>
      <c r="E111" s="48">
        <f t="shared" si="40"/>
        <v>5</v>
      </c>
      <c r="F111" s="48">
        <f t="shared" si="40"/>
        <v>0</v>
      </c>
      <c r="G111" s="48">
        <f t="shared" si="40"/>
        <v>20</v>
      </c>
      <c r="H111" s="48">
        <f t="shared" si="40"/>
        <v>0</v>
      </c>
      <c r="I111" s="48">
        <f t="shared" si="40"/>
        <v>0</v>
      </c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ht="12.75" hidden="1">
      <c r="A112" s="25">
        <v>20</v>
      </c>
      <c r="B112" s="39"/>
      <c r="C112" s="48">
        <f aca="true" t="shared" si="41" ref="C112:I112">C85</f>
        <v>0</v>
      </c>
      <c r="D112" s="48">
        <f t="shared" si="41"/>
        <v>0</v>
      </c>
      <c r="E112" s="48">
        <f t="shared" si="41"/>
        <v>0</v>
      </c>
      <c r="F112" s="48">
        <f t="shared" si="41"/>
        <v>0</v>
      </c>
      <c r="G112" s="48">
        <f t="shared" si="41"/>
        <v>0</v>
      </c>
      <c r="H112" s="48">
        <f t="shared" si="41"/>
        <v>0</v>
      </c>
      <c r="I112" s="48">
        <f t="shared" si="41"/>
        <v>0</v>
      </c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ht="12.75" hidden="1">
      <c r="A113" s="25"/>
      <c r="B113" s="48"/>
      <c r="C113" s="56"/>
      <c r="D113" s="56"/>
      <c r="E113" s="56"/>
      <c r="F113" s="56"/>
      <c r="G113" s="56"/>
      <c r="H113" s="56"/>
      <c r="I113" s="56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2.75" hidden="1">
      <c r="A114" s="25" t="s">
        <v>48</v>
      </c>
      <c r="B114" s="48">
        <f>COUNTIF(B9:B88,"Klipp")</f>
        <v>20</v>
      </c>
      <c r="C114" s="56"/>
      <c r="D114" s="56"/>
      <c r="E114" s="56"/>
      <c r="F114" s="56"/>
      <c r="G114" s="56"/>
      <c r="H114" s="56"/>
      <c r="I114" s="56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2.75">
      <c r="A115" s="25"/>
      <c r="B115" s="48"/>
      <c r="C115" s="56"/>
      <c r="D115" s="56"/>
      <c r="E115" s="56"/>
      <c r="F115" s="56"/>
      <c r="G115" s="56"/>
      <c r="H115" s="56"/>
      <c r="I115" s="56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2.75">
      <c r="A116" s="32" t="s">
        <v>14</v>
      </c>
      <c r="B116" s="22" t="s">
        <v>110</v>
      </c>
      <c r="C116" s="55">
        <v>4</v>
      </c>
      <c r="D116" s="55">
        <v>2</v>
      </c>
      <c r="E116" s="55">
        <v>12</v>
      </c>
      <c r="F116" s="55">
        <v>8</v>
      </c>
      <c r="G116" s="55">
        <v>6</v>
      </c>
      <c r="H116" s="55">
        <v>10</v>
      </c>
      <c r="I116" s="55">
        <v>0</v>
      </c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22.5">
      <c r="A117" s="25"/>
      <c r="B117" s="22" t="s">
        <v>112</v>
      </c>
      <c r="C117" s="55">
        <v>0</v>
      </c>
      <c r="D117" s="55">
        <v>3</v>
      </c>
      <c r="E117" s="55">
        <v>3</v>
      </c>
      <c r="F117" s="55">
        <v>1</v>
      </c>
      <c r="G117" s="55">
        <v>1</v>
      </c>
      <c r="H117" s="55">
        <v>1</v>
      </c>
      <c r="I117" s="55">
        <v>2</v>
      </c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2.75">
      <c r="A118" s="25"/>
      <c r="B118" s="22" t="s">
        <v>111</v>
      </c>
      <c r="C118" s="55">
        <v>10</v>
      </c>
      <c r="D118" s="55">
        <v>6</v>
      </c>
      <c r="E118" s="55">
        <v>4</v>
      </c>
      <c r="F118" s="55">
        <v>0</v>
      </c>
      <c r="G118" s="55">
        <v>2</v>
      </c>
      <c r="H118" s="55">
        <v>12</v>
      </c>
      <c r="I118" s="55">
        <v>8</v>
      </c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2.75">
      <c r="A119" s="25"/>
      <c r="B119" s="48" t="s">
        <v>30</v>
      </c>
      <c r="C119" s="39">
        <f aca="true" t="shared" si="42" ref="C119:I119">SUM(C116:C118)</f>
        <v>14</v>
      </c>
      <c r="D119" s="39">
        <f t="shared" si="42"/>
        <v>11</v>
      </c>
      <c r="E119" s="39">
        <f t="shared" si="42"/>
        <v>19</v>
      </c>
      <c r="F119" s="39">
        <f t="shared" si="42"/>
        <v>9</v>
      </c>
      <c r="G119" s="39">
        <f t="shared" si="42"/>
        <v>9</v>
      </c>
      <c r="H119" s="39">
        <f t="shared" si="42"/>
        <v>23</v>
      </c>
      <c r="I119" s="39">
        <f t="shared" si="42"/>
        <v>10</v>
      </c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2.75">
      <c r="A120" s="25"/>
      <c r="B120" s="48" t="s">
        <v>53</v>
      </c>
      <c r="C120" s="59">
        <f>LOOKUP(C119,LunchlekarSorterat,Placeringar)</f>
        <v>5</v>
      </c>
      <c r="D120" s="59">
        <f aca="true" t="shared" si="43" ref="D120:I120">LOOKUP(D119,LunchlekarSorterat,Placeringar)</f>
        <v>4</v>
      </c>
      <c r="E120" s="59">
        <f t="shared" si="43"/>
        <v>6</v>
      </c>
      <c r="F120" s="59">
        <f t="shared" si="43"/>
        <v>2</v>
      </c>
      <c r="G120" s="59">
        <f t="shared" si="43"/>
        <v>2</v>
      </c>
      <c r="H120" s="59">
        <f t="shared" si="43"/>
        <v>7</v>
      </c>
      <c r="I120" s="59">
        <f t="shared" si="43"/>
        <v>3</v>
      </c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ht="12.75">
      <c r="A121" s="25"/>
      <c r="B121" s="48"/>
      <c r="C121" s="59"/>
      <c r="D121" s="59"/>
      <c r="E121" s="59"/>
      <c r="F121" s="59"/>
      <c r="G121" s="59"/>
      <c r="H121" s="59"/>
      <c r="I121" s="5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2.75">
      <c r="A122" s="25"/>
      <c r="B122" s="48"/>
      <c r="C122" s="59"/>
      <c r="D122" s="59"/>
      <c r="E122" s="59"/>
      <c r="F122" s="59"/>
      <c r="G122" s="59"/>
      <c r="H122" s="59"/>
      <c r="I122" s="5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ht="12.75">
      <c r="A123" s="32" t="s">
        <v>89</v>
      </c>
      <c r="B123" s="22" t="s">
        <v>104</v>
      </c>
      <c r="C123" s="55">
        <v>3</v>
      </c>
      <c r="D123" s="55">
        <v>15</v>
      </c>
      <c r="E123" s="55">
        <v>4</v>
      </c>
      <c r="F123" s="55">
        <v>2</v>
      </c>
      <c r="G123" s="55">
        <v>1</v>
      </c>
      <c r="H123" s="55">
        <v>1</v>
      </c>
      <c r="I123" s="55">
        <v>15</v>
      </c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2.75">
      <c r="A124" s="25"/>
      <c r="B124" s="22" t="s">
        <v>105</v>
      </c>
      <c r="C124" s="55">
        <v>15</v>
      </c>
      <c r="D124" s="55">
        <v>16</v>
      </c>
      <c r="E124" s="55">
        <v>20</v>
      </c>
      <c r="F124" s="55">
        <v>8</v>
      </c>
      <c r="G124" s="55">
        <v>13</v>
      </c>
      <c r="H124" s="55">
        <v>14</v>
      </c>
      <c r="I124" s="55">
        <v>22</v>
      </c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2.75">
      <c r="A125" s="25"/>
      <c r="B125" s="48" t="s">
        <v>30</v>
      </c>
      <c r="C125" s="59">
        <f aca="true" t="shared" si="44" ref="C125:I125">SUM(C123:C124)</f>
        <v>18</v>
      </c>
      <c r="D125" s="59">
        <f t="shared" si="44"/>
        <v>31</v>
      </c>
      <c r="E125" s="59">
        <f t="shared" si="44"/>
        <v>24</v>
      </c>
      <c r="F125" s="59">
        <f t="shared" si="44"/>
        <v>10</v>
      </c>
      <c r="G125" s="59">
        <f t="shared" si="44"/>
        <v>14</v>
      </c>
      <c r="H125" s="59">
        <f t="shared" si="44"/>
        <v>15</v>
      </c>
      <c r="I125" s="59">
        <f t="shared" si="44"/>
        <v>37</v>
      </c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ht="12.75">
      <c r="A126" s="25"/>
      <c r="B126" s="48" t="s">
        <v>53</v>
      </c>
      <c r="C126" s="59">
        <f>LOOKUP(C125,PysselSorterat,Placeringar)</f>
        <v>4</v>
      </c>
      <c r="D126" s="59">
        <f aca="true" t="shared" si="45" ref="D126:I126">LOOKUP(D125,PysselSorterat,Placeringar)</f>
        <v>6</v>
      </c>
      <c r="E126" s="59">
        <f t="shared" si="45"/>
        <v>5</v>
      </c>
      <c r="F126" s="59">
        <f t="shared" si="45"/>
        <v>1</v>
      </c>
      <c r="G126" s="59">
        <f t="shared" si="45"/>
        <v>2</v>
      </c>
      <c r="H126" s="59">
        <f t="shared" si="45"/>
        <v>3</v>
      </c>
      <c r="I126" s="59">
        <f t="shared" si="45"/>
        <v>7</v>
      </c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ht="12.75">
      <c r="A127" s="25"/>
      <c r="B127" s="4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2.75">
      <c r="A128" s="32" t="s">
        <v>2</v>
      </c>
      <c r="B128" s="38" t="s">
        <v>39</v>
      </c>
      <c r="C128" s="60">
        <v>2</v>
      </c>
      <c r="D128" s="60">
        <v>4</v>
      </c>
      <c r="E128" s="60">
        <v>10</v>
      </c>
      <c r="F128" s="60">
        <v>0</v>
      </c>
      <c r="G128" s="60">
        <v>12</v>
      </c>
      <c r="H128" s="60">
        <v>8</v>
      </c>
      <c r="I128" s="60">
        <v>6</v>
      </c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s="11" customFormat="1" ht="12.75">
      <c r="A129" s="33"/>
      <c r="B129" s="49" t="s">
        <v>53</v>
      </c>
      <c r="C129" s="59">
        <f>LOOKUP(C128,ManöverprovSorterat,Placeringar)</f>
        <v>2</v>
      </c>
      <c r="D129" s="59">
        <f aca="true" t="shared" si="46" ref="D129:I129">LOOKUP(D128,ManöverprovSorterat,Placeringar)</f>
        <v>3</v>
      </c>
      <c r="E129" s="59">
        <f t="shared" si="46"/>
        <v>6</v>
      </c>
      <c r="F129" s="59">
        <f t="shared" si="46"/>
        <v>1</v>
      </c>
      <c r="G129" s="59">
        <f t="shared" si="46"/>
        <v>7</v>
      </c>
      <c r="H129" s="59">
        <f t="shared" si="46"/>
        <v>5</v>
      </c>
      <c r="I129" s="59">
        <f t="shared" si="46"/>
        <v>4</v>
      </c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1:18" ht="12.75">
      <c r="A130" s="25" t="s">
        <v>12</v>
      </c>
      <c r="B130" s="38"/>
      <c r="C130" s="38"/>
      <c r="D130" s="38"/>
      <c r="E130" s="38"/>
      <c r="F130" s="38"/>
      <c r="G130" s="38"/>
      <c r="H130" s="38"/>
      <c r="I130" s="38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2.75">
      <c r="A131" s="34" t="s">
        <v>31</v>
      </c>
      <c r="B131" s="23" t="s">
        <v>32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ht="12.75">
      <c r="A132" s="25"/>
      <c r="B132" s="23" t="s">
        <v>33</v>
      </c>
      <c r="C132" s="60">
        <v>64</v>
      </c>
      <c r="D132" s="60">
        <v>54</v>
      </c>
      <c r="E132" s="60">
        <v>51</v>
      </c>
      <c r="F132" s="60">
        <v>34</v>
      </c>
      <c r="G132" s="60">
        <v>16</v>
      </c>
      <c r="H132" s="60">
        <v>54</v>
      </c>
      <c r="I132" s="60">
        <v>70</v>
      </c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ht="12.75">
      <c r="A133" s="25"/>
      <c r="B133" s="23" t="s">
        <v>34</v>
      </c>
      <c r="C133" s="60">
        <v>108</v>
      </c>
      <c r="D133" s="60">
        <v>92</v>
      </c>
      <c r="E133" s="60">
        <v>48</v>
      </c>
      <c r="F133" s="60">
        <v>12</v>
      </c>
      <c r="G133" s="60">
        <v>52</v>
      </c>
      <c r="H133" s="60">
        <v>60</v>
      </c>
      <c r="I133" s="60">
        <v>94</v>
      </c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2.75">
      <c r="A134" s="25"/>
      <c r="B134" s="38" t="s">
        <v>30</v>
      </c>
      <c r="C134" s="38">
        <f aca="true" t="shared" si="47" ref="C134:I134">SUM(C131:C133)</f>
        <v>172</v>
      </c>
      <c r="D134" s="38">
        <f t="shared" si="47"/>
        <v>146</v>
      </c>
      <c r="E134" s="38">
        <f t="shared" si="47"/>
        <v>99</v>
      </c>
      <c r="F134" s="38">
        <f t="shared" si="47"/>
        <v>46</v>
      </c>
      <c r="G134" s="38">
        <f t="shared" si="47"/>
        <v>68</v>
      </c>
      <c r="H134" s="38">
        <f t="shared" si="47"/>
        <v>114</v>
      </c>
      <c r="I134" s="38">
        <f t="shared" si="47"/>
        <v>164</v>
      </c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2.75">
      <c r="A135" s="25"/>
      <c r="B135" s="38" t="s">
        <v>53</v>
      </c>
      <c r="C135" s="59">
        <f>LOOKUP(C134,TidsprickarSorterat,Placeringar)</f>
        <v>7</v>
      </c>
      <c r="D135" s="59">
        <f aca="true" t="shared" si="48" ref="D135:I135">LOOKUP(D134,TidsprickarSorterat,Placeringar)</f>
        <v>5</v>
      </c>
      <c r="E135" s="59">
        <f t="shared" si="48"/>
        <v>3</v>
      </c>
      <c r="F135" s="59">
        <f t="shared" si="48"/>
        <v>1</v>
      </c>
      <c r="G135" s="59">
        <f t="shared" si="48"/>
        <v>2</v>
      </c>
      <c r="H135" s="59">
        <f t="shared" si="48"/>
        <v>4</v>
      </c>
      <c r="I135" s="59">
        <f t="shared" si="48"/>
        <v>6</v>
      </c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ht="12.75">
      <c r="A136" s="25"/>
      <c r="B136" s="38"/>
      <c r="C136" s="38"/>
      <c r="D136" s="38"/>
      <c r="E136" s="38"/>
      <c r="F136" s="38"/>
      <c r="G136" s="38"/>
      <c r="H136" s="38"/>
      <c r="I136" s="38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ht="12.75">
      <c r="A137" s="34" t="s">
        <v>44</v>
      </c>
      <c r="B137" s="49" t="s">
        <v>47</v>
      </c>
      <c r="C137" s="38">
        <f aca="true" t="shared" si="49" ref="C137:I137">SUMIF($B$9:$B$88,"Förklaring",C9:C88)</f>
        <v>46</v>
      </c>
      <c r="D137" s="38">
        <f t="shared" si="49"/>
        <v>144</v>
      </c>
      <c r="E137" s="38">
        <f t="shared" si="49"/>
        <v>46</v>
      </c>
      <c r="F137" s="38">
        <f t="shared" si="49"/>
        <v>21</v>
      </c>
      <c r="G137" s="38">
        <f t="shared" si="49"/>
        <v>98</v>
      </c>
      <c r="H137" s="38">
        <f t="shared" si="49"/>
        <v>84</v>
      </c>
      <c r="I137" s="38">
        <f t="shared" si="49"/>
        <v>81</v>
      </c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2.75">
      <c r="A138" s="25"/>
      <c r="B138" s="49" t="s">
        <v>49</v>
      </c>
      <c r="C138" s="61">
        <f aca="true" t="shared" si="50" ref="C138:I138">C137/$B$114</f>
        <v>2.3</v>
      </c>
      <c r="D138" s="61">
        <f t="shared" si="50"/>
        <v>7.2</v>
      </c>
      <c r="E138" s="61">
        <f t="shared" si="50"/>
        <v>2.3</v>
      </c>
      <c r="F138" s="61">
        <f t="shared" si="50"/>
        <v>1.05</v>
      </c>
      <c r="G138" s="61">
        <f t="shared" si="50"/>
        <v>4.9</v>
      </c>
      <c r="H138" s="61">
        <f t="shared" si="50"/>
        <v>4.2</v>
      </c>
      <c r="I138" s="61">
        <f t="shared" si="50"/>
        <v>4.05</v>
      </c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12.75">
      <c r="A139" s="25"/>
      <c r="B139" s="49" t="s">
        <v>53</v>
      </c>
      <c r="C139" s="59">
        <f>LOOKUP(C137,FörklaringarSorterat,Placeringar)</f>
        <v>3</v>
      </c>
      <c r="D139" s="59">
        <f aca="true" t="shared" si="51" ref="D139:I139">LOOKUP(D137,FörklaringarSorterat,Placeringar)</f>
        <v>7</v>
      </c>
      <c r="E139" s="59">
        <f t="shared" si="51"/>
        <v>3</v>
      </c>
      <c r="F139" s="59">
        <f t="shared" si="51"/>
        <v>1</v>
      </c>
      <c r="G139" s="59">
        <f t="shared" si="51"/>
        <v>6</v>
      </c>
      <c r="H139" s="59">
        <f t="shared" si="51"/>
        <v>5</v>
      </c>
      <c r="I139" s="59">
        <f t="shared" si="51"/>
        <v>4</v>
      </c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ht="12.75">
      <c r="A140" s="25"/>
      <c r="B140" s="49"/>
      <c r="C140" s="38"/>
      <c r="D140" s="38"/>
      <c r="E140" s="38"/>
      <c r="F140" s="38"/>
      <c r="G140" s="38"/>
      <c r="H140" s="38"/>
      <c r="I140" s="38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ht="12.75">
      <c r="A141" s="34" t="s">
        <v>43</v>
      </c>
      <c r="B141" s="49" t="s">
        <v>47</v>
      </c>
      <c r="C141" s="38">
        <f aca="true" t="shared" si="52" ref="C141:I141">SUMIF($B$9:$B$88,"Kod",C9:C88)</f>
        <v>0</v>
      </c>
      <c r="D141" s="38">
        <f t="shared" si="52"/>
        <v>80</v>
      </c>
      <c r="E141" s="38">
        <f t="shared" si="52"/>
        <v>20</v>
      </c>
      <c r="F141" s="38">
        <f t="shared" si="52"/>
        <v>0</v>
      </c>
      <c r="G141" s="38">
        <f t="shared" si="52"/>
        <v>40</v>
      </c>
      <c r="H141" s="38">
        <f t="shared" si="52"/>
        <v>20</v>
      </c>
      <c r="I141" s="38">
        <f t="shared" si="52"/>
        <v>0</v>
      </c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12.75">
      <c r="A142" s="25"/>
      <c r="B142" s="49" t="s">
        <v>50</v>
      </c>
      <c r="C142" s="38">
        <f aca="true" t="shared" si="53" ref="C142:I142">C141/20</f>
        <v>0</v>
      </c>
      <c r="D142" s="38">
        <f t="shared" si="53"/>
        <v>4</v>
      </c>
      <c r="E142" s="38">
        <f t="shared" si="53"/>
        <v>1</v>
      </c>
      <c r="F142" s="38">
        <f t="shared" si="53"/>
        <v>0</v>
      </c>
      <c r="G142" s="38">
        <f t="shared" si="53"/>
        <v>2</v>
      </c>
      <c r="H142" s="38">
        <f t="shared" si="53"/>
        <v>1</v>
      </c>
      <c r="I142" s="38">
        <f t="shared" si="53"/>
        <v>0</v>
      </c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25"/>
      <c r="B143" s="49" t="s">
        <v>53</v>
      </c>
      <c r="C143" s="59">
        <f>LOOKUP(C141,KodSorterat,Placeringar)</f>
        <v>3</v>
      </c>
      <c r="D143" s="59">
        <f aca="true" t="shared" si="54" ref="D143:I143">LOOKUP(D141,KodSorterat,Placeringar)</f>
        <v>7</v>
      </c>
      <c r="E143" s="59">
        <f t="shared" si="54"/>
        <v>5</v>
      </c>
      <c r="F143" s="59">
        <f t="shared" si="54"/>
        <v>3</v>
      </c>
      <c r="G143" s="59">
        <f t="shared" si="54"/>
        <v>6</v>
      </c>
      <c r="H143" s="59">
        <f t="shared" si="54"/>
        <v>5</v>
      </c>
      <c r="I143" s="59">
        <f t="shared" si="54"/>
        <v>3</v>
      </c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25"/>
      <c r="B144" s="38"/>
      <c r="C144" s="38"/>
      <c r="D144" s="38"/>
      <c r="E144" s="38"/>
      <c r="F144" s="38"/>
      <c r="G144" s="38"/>
      <c r="H144" s="38"/>
      <c r="I144" s="38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s="13" customFormat="1" ht="12.75">
      <c r="A145" s="35" t="s">
        <v>15</v>
      </c>
      <c r="B145" s="50"/>
      <c r="C145" s="50"/>
      <c r="D145" s="50"/>
      <c r="E145" s="50"/>
      <c r="F145" s="50"/>
      <c r="G145" s="50"/>
      <c r="H145" s="50"/>
      <c r="I145" s="50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2.75">
      <c r="A146" s="25" t="s">
        <v>40</v>
      </c>
      <c r="B146" s="49" t="s">
        <v>39</v>
      </c>
      <c r="C146" s="38">
        <f aca="true" t="shared" si="55" ref="C146:I146">SUMIF(C$93:C$112,5,C$93:C$112)</f>
        <v>35</v>
      </c>
      <c r="D146" s="38">
        <f t="shared" si="55"/>
        <v>0</v>
      </c>
      <c r="E146" s="38">
        <f t="shared" si="55"/>
        <v>55</v>
      </c>
      <c r="F146" s="38">
        <f t="shared" si="55"/>
        <v>35</v>
      </c>
      <c r="G146" s="38">
        <f t="shared" si="55"/>
        <v>5</v>
      </c>
      <c r="H146" s="38">
        <f t="shared" si="55"/>
        <v>5</v>
      </c>
      <c r="I146" s="38">
        <f t="shared" si="55"/>
        <v>60</v>
      </c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12.75">
      <c r="A147" s="25"/>
      <c r="B147" s="49" t="s">
        <v>37</v>
      </c>
      <c r="C147" s="38">
        <f aca="true" t="shared" si="56" ref="C147:I147">COUNTIF(C$93:C$112,"=5")</f>
        <v>7</v>
      </c>
      <c r="D147" s="38">
        <f t="shared" si="56"/>
        <v>0</v>
      </c>
      <c r="E147" s="38">
        <f t="shared" si="56"/>
        <v>11</v>
      </c>
      <c r="F147" s="38">
        <f t="shared" si="56"/>
        <v>7</v>
      </c>
      <c r="G147" s="38">
        <f t="shared" si="56"/>
        <v>1</v>
      </c>
      <c r="H147" s="38">
        <f t="shared" si="56"/>
        <v>1</v>
      </c>
      <c r="I147" s="38">
        <f t="shared" si="56"/>
        <v>12</v>
      </c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2.75">
      <c r="A148" s="25"/>
      <c r="B148" s="49" t="s">
        <v>53</v>
      </c>
      <c r="C148" s="59">
        <f>LOOKUP(C146,KoordinatklippSorterat,Placeringar)</f>
        <v>5</v>
      </c>
      <c r="D148" s="59">
        <f aca="true" t="shared" si="57" ref="D148:I148">LOOKUP(D146,KoordinatklippSorterat,Placeringar)</f>
        <v>1</v>
      </c>
      <c r="E148" s="59">
        <f t="shared" si="57"/>
        <v>6</v>
      </c>
      <c r="F148" s="59">
        <f t="shared" si="57"/>
        <v>5</v>
      </c>
      <c r="G148" s="59">
        <f t="shared" si="57"/>
        <v>3</v>
      </c>
      <c r="H148" s="59">
        <f t="shared" si="57"/>
        <v>3</v>
      </c>
      <c r="I148" s="59">
        <f t="shared" si="57"/>
        <v>7</v>
      </c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2.75">
      <c r="A149" s="25"/>
      <c r="B149" s="4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2.75">
      <c r="A150" s="25" t="s">
        <v>41</v>
      </c>
      <c r="B150" s="49" t="s">
        <v>39</v>
      </c>
      <c r="C150" s="38">
        <f aca="true" t="shared" si="58" ref="C150:I150">SUMIF(C$93:C$112,20,C$93:C$112)</f>
        <v>120</v>
      </c>
      <c r="D150" s="38">
        <f t="shared" si="58"/>
        <v>220</v>
      </c>
      <c r="E150" s="38">
        <f t="shared" si="58"/>
        <v>100</v>
      </c>
      <c r="F150" s="38">
        <f t="shared" si="58"/>
        <v>20</v>
      </c>
      <c r="G150" s="38">
        <f t="shared" si="58"/>
        <v>220</v>
      </c>
      <c r="H150" s="38">
        <f t="shared" si="58"/>
        <v>140</v>
      </c>
      <c r="I150" s="38">
        <f t="shared" si="58"/>
        <v>80</v>
      </c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2.75">
      <c r="A151" s="25"/>
      <c r="B151" s="49" t="s">
        <v>37</v>
      </c>
      <c r="C151" s="38">
        <f aca="true" t="shared" si="59" ref="C151:I151">COUNTIF(C$93:C$113,"=20")</f>
        <v>6</v>
      </c>
      <c r="D151" s="38">
        <f t="shared" si="59"/>
        <v>11</v>
      </c>
      <c r="E151" s="38">
        <f t="shared" si="59"/>
        <v>5</v>
      </c>
      <c r="F151" s="38">
        <f t="shared" si="59"/>
        <v>1</v>
      </c>
      <c r="G151" s="38">
        <f t="shared" si="59"/>
        <v>11</v>
      </c>
      <c r="H151" s="38">
        <f t="shared" si="59"/>
        <v>7</v>
      </c>
      <c r="I151" s="38">
        <f t="shared" si="59"/>
        <v>4</v>
      </c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12.75">
      <c r="A152" s="25"/>
      <c r="B152" s="49" t="s">
        <v>53</v>
      </c>
      <c r="C152" s="59">
        <f>LOOKUP(C150,LösningsklippSorterat,Placeringar)</f>
        <v>4</v>
      </c>
      <c r="D152" s="59">
        <f aca="true" t="shared" si="60" ref="D152:I152">LOOKUP(D150,LösningsklippSorterat,Placeringar)</f>
        <v>7</v>
      </c>
      <c r="E152" s="59">
        <f t="shared" si="60"/>
        <v>3</v>
      </c>
      <c r="F152" s="59">
        <f t="shared" si="60"/>
        <v>1</v>
      </c>
      <c r="G152" s="59">
        <f t="shared" si="60"/>
        <v>7</v>
      </c>
      <c r="H152" s="59">
        <f t="shared" si="60"/>
        <v>5</v>
      </c>
      <c r="I152" s="59">
        <f t="shared" si="60"/>
        <v>2</v>
      </c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2.75">
      <c r="A153" s="25"/>
      <c r="B153" s="49"/>
      <c r="C153" s="38"/>
      <c r="D153" s="38"/>
      <c r="E153" s="38"/>
      <c r="F153" s="38"/>
      <c r="G153" s="38"/>
      <c r="H153" s="38"/>
      <c r="I153" s="38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ht="12.75">
      <c r="A154" s="25" t="s">
        <v>30</v>
      </c>
      <c r="B154" s="49" t="s">
        <v>51</v>
      </c>
      <c r="C154" s="38">
        <f>SUM(C$93:C$112)</f>
        <v>155</v>
      </c>
      <c r="D154" s="38">
        <f aca="true" t="shared" si="61" ref="D154:I154">SUM(D$93:D$112)</f>
        <v>220</v>
      </c>
      <c r="E154" s="38">
        <f t="shared" si="61"/>
        <v>155</v>
      </c>
      <c r="F154" s="38">
        <f t="shared" si="61"/>
        <v>55</v>
      </c>
      <c r="G154" s="38">
        <f t="shared" si="61"/>
        <v>225</v>
      </c>
      <c r="H154" s="38">
        <f t="shared" si="61"/>
        <v>145</v>
      </c>
      <c r="I154" s="38">
        <f t="shared" si="61"/>
        <v>140</v>
      </c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2.75">
      <c r="A155" s="25"/>
      <c r="B155" s="49" t="s">
        <v>53</v>
      </c>
      <c r="C155" s="59">
        <f>LOOKUP(C154,KlippTotaltSorterat,Placeringar)</f>
        <v>5</v>
      </c>
      <c r="D155" s="59">
        <f aca="true" t="shared" si="62" ref="D155:I155">LOOKUP(D154,KlippTotaltSorterat,Placeringar)</f>
        <v>6</v>
      </c>
      <c r="E155" s="59">
        <f t="shared" si="62"/>
        <v>5</v>
      </c>
      <c r="F155" s="59">
        <f t="shared" si="62"/>
        <v>1</v>
      </c>
      <c r="G155" s="59">
        <f t="shared" si="62"/>
        <v>7</v>
      </c>
      <c r="H155" s="59">
        <f t="shared" si="62"/>
        <v>3</v>
      </c>
      <c r="I155" s="59">
        <f t="shared" si="62"/>
        <v>2</v>
      </c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2.75">
      <c r="A156" s="25"/>
      <c r="B156" s="4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s="13" customFormat="1" ht="12.75">
      <c r="A157" s="35" t="s">
        <v>54</v>
      </c>
      <c r="B157" s="50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s="11" customFormat="1" ht="12.75">
      <c r="A158" s="33" t="s">
        <v>35</v>
      </c>
      <c r="B158" s="4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</row>
    <row r="159" spans="1:18" s="11" customFormat="1" ht="12.75">
      <c r="A159" s="33"/>
      <c r="B159" s="49" t="s">
        <v>55</v>
      </c>
      <c r="C159" s="55">
        <v>10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</row>
    <row r="160" spans="1:18" ht="12.75">
      <c r="A160" s="25"/>
      <c r="B160" s="49" t="s">
        <v>113</v>
      </c>
      <c r="C160" s="55">
        <v>6</v>
      </c>
      <c r="D160" s="55">
        <v>9</v>
      </c>
      <c r="E160" s="55">
        <v>7</v>
      </c>
      <c r="F160" s="55">
        <v>2</v>
      </c>
      <c r="G160" s="55">
        <v>10</v>
      </c>
      <c r="H160" s="55">
        <v>6</v>
      </c>
      <c r="I160" s="55">
        <v>9</v>
      </c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2.75">
      <c r="A161" s="25"/>
      <c r="B161" s="49" t="s">
        <v>114</v>
      </c>
      <c r="C161" s="55">
        <v>2</v>
      </c>
      <c r="D161" s="55">
        <v>8</v>
      </c>
      <c r="E161" s="55">
        <v>5</v>
      </c>
      <c r="F161" s="55">
        <v>4</v>
      </c>
      <c r="G161" s="55">
        <v>5</v>
      </c>
      <c r="H161" s="55">
        <v>7</v>
      </c>
      <c r="I161" s="55">
        <v>9</v>
      </c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ht="12.75">
      <c r="A162" s="25"/>
      <c r="B162" s="49" t="s">
        <v>52</v>
      </c>
      <c r="C162" s="39">
        <f>$C159*(C160+C161)</f>
        <v>80</v>
      </c>
      <c r="D162" s="39">
        <f aca="true" t="shared" si="63" ref="D162:I162">$C159*(D160+D161)</f>
        <v>170</v>
      </c>
      <c r="E162" s="39">
        <f t="shared" si="63"/>
        <v>120</v>
      </c>
      <c r="F162" s="39">
        <f t="shared" si="63"/>
        <v>60</v>
      </c>
      <c r="G162" s="39">
        <f t="shared" si="63"/>
        <v>150</v>
      </c>
      <c r="H162" s="39">
        <f t="shared" si="63"/>
        <v>130</v>
      </c>
      <c r="I162" s="39">
        <f t="shared" si="63"/>
        <v>180</v>
      </c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ht="12.75">
      <c r="A163" s="25"/>
      <c r="B163" s="49" t="s">
        <v>53</v>
      </c>
      <c r="C163" s="59">
        <f>LOOKUP(C162,FotoplockSorterat,Placeringar)</f>
        <v>2</v>
      </c>
      <c r="D163" s="59">
        <f aca="true" t="shared" si="64" ref="D163:I163">LOOKUP(D162,FotoplockSorterat,Placeringar)</f>
        <v>6</v>
      </c>
      <c r="E163" s="59">
        <f t="shared" si="64"/>
        <v>3</v>
      </c>
      <c r="F163" s="59">
        <f t="shared" si="64"/>
        <v>1</v>
      </c>
      <c r="G163" s="59">
        <f t="shared" si="64"/>
        <v>5</v>
      </c>
      <c r="H163" s="59">
        <f t="shared" si="64"/>
        <v>4</v>
      </c>
      <c r="I163" s="59">
        <f t="shared" si="64"/>
        <v>7</v>
      </c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2.75">
      <c r="A164" s="25"/>
      <c r="B164" s="4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2.75">
      <c r="A165" s="25" t="s">
        <v>36</v>
      </c>
      <c r="B165" s="49"/>
      <c r="C165" s="5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ht="12.75">
      <c r="A166" s="25"/>
      <c r="B166" s="49" t="s">
        <v>55</v>
      </c>
      <c r="C166" s="55">
        <v>5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ht="12.75">
      <c r="A167" s="25"/>
      <c r="B167" s="49" t="s">
        <v>113</v>
      </c>
      <c r="C167" s="55">
        <v>4</v>
      </c>
      <c r="D167" s="55">
        <v>17</v>
      </c>
      <c r="E167" s="55">
        <v>6</v>
      </c>
      <c r="F167" s="55">
        <v>2</v>
      </c>
      <c r="G167" s="55">
        <v>17</v>
      </c>
      <c r="H167" s="55">
        <v>16</v>
      </c>
      <c r="I167" s="55">
        <v>7</v>
      </c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18" ht="12.75">
      <c r="A168" s="25"/>
      <c r="B168" s="49" t="s">
        <v>114</v>
      </c>
      <c r="C168" s="55">
        <v>9</v>
      </c>
      <c r="D168" s="55">
        <v>14</v>
      </c>
      <c r="E168" s="55">
        <v>9</v>
      </c>
      <c r="F168" s="55">
        <v>3</v>
      </c>
      <c r="G168" s="55">
        <v>17</v>
      </c>
      <c r="H168" s="55">
        <v>13</v>
      </c>
      <c r="I168" s="55">
        <v>6</v>
      </c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2.75">
      <c r="A169" s="25"/>
      <c r="B169" s="49" t="s">
        <v>52</v>
      </c>
      <c r="C169" s="39">
        <f>$C166*(C167+C168)</f>
        <v>65</v>
      </c>
      <c r="D169" s="39">
        <f aca="true" t="shared" si="65" ref="D169:I169">$C166*(D167+D168)</f>
        <v>155</v>
      </c>
      <c r="E169" s="39">
        <f t="shared" si="65"/>
        <v>75</v>
      </c>
      <c r="F169" s="39">
        <f t="shared" si="65"/>
        <v>25</v>
      </c>
      <c r="G169" s="39">
        <f t="shared" si="65"/>
        <v>170</v>
      </c>
      <c r="H169" s="39">
        <f t="shared" si="65"/>
        <v>145</v>
      </c>
      <c r="I169" s="39">
        <f t="shared" si="65"/>
        <v>65</v>
      </c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18" ht="12.75">
      <c r="A170" s="25"/>
      <c r="B170" s="49" t="s">
        <v>53</v>
      </c>
      <c r="C170" s="59">
        <f>LOOKUP(C169,BokstavsplockSorterat,Placeringar)</f>
        <v>3</v>
      </c>
      <c r="D170" s="59">
        <f aca="true" t="shared" si="66" ref="D170:I170">LOOKUP(D169,BokstavsplockSorterat,Placeringar)</f>
        <v>6</v>
      </c>
      <c r="E170" s="59">
        <f t="shared" si="66"/>
        <v>4</v>
      </c>
      <c r="F170" s="59">
        <f t="shared" si="66"/>
        <v>1</v>
      </c>
      <c r="G170" s="59">
        <f t="shared" si="66"/>
        <v>7</v>
      </c>
      <c r="H170" s="59">
        <f t="shared" si="66"/>
        <v>5</v>
      </c>
      <c r="I170" s="59">
        <f t="shared" si="66"/>
        <v>3</v>
      </c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2.75">
      <c r="A171" s="25"/>
      <c r="B171" s="4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2.75">
      <c r="A172" s="25" t="s">
        <v>66</v>
      </c>
      <c r="B172" s="49"/>
      <c r="C172" s="5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2.75">
      <c r="A173" s="25"/>
      <c r="B173" s="49" t="s">
        <v>55</v>
      </c>
      <c r="C173" s="55">
        <v>5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2.75">
      <c r="A174" s="25"/>
      <c r="B174" s="49" t="s">
        <v>115</v>
      </c>
      <c r="C174" s="55">
        <v>0</v>
      </c>
      <c r="D174" s="55">
        <v>2</v>
      </c>
      <c r="E174" s="55">
        <v>0</v>
      </c>
      <c r="F174" s="55">
        <v>0</v>
      </c>
      <c r="G174" s="55">
        <v>2</v>
      </c>
      <c r="H174" s="55">
        <v>0</v>
      </c>
      <c r="I174" s="55">
        <v>1</v>
      </c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ht="12.75">
      <c r="A175" s="25"/>
      <c r="B175" s="49" t="s">
        <v>52</v>
      </c>
      <c r="C175" s="39">
        <f>$C173*C174</f>
        <v>0</v>
      </c>
      <c r="D175" s="39">
        <f aca="true" t="shared" si="67" ref="D175:I175">$C173*D174</f>
        <v>10</v>
      </c>
      <c r="E175" s="39">
        <f t="shared" si="67"/>
        <v>0</v>
      </c>
      <c r="F175" s="39">
        <f t="shared" si="67"/>
        <v>0</v>
      </c>
      <c r="G175" s="39">
        <f t="shared" si="67"/>
        <v>10</v>
      </c>
      <c r="H175" s="39">
        <f t="shared" si="67"/>
        <v>0</v>
      </c>
      <c r="I175" s="39">
        <f t="shared" si="67"/>
        <v>5</v>
      </c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12.75">
      <c r="A176" s="25"/>
      <c r="B176" s="49" t="s">
        <v>53</v>
      </c>
      <c r="C176" s="59">
        <f>LOOKUP(C175,LiftareSorterat,Placeringar)</f>
        <v>4</v>
      </c>
      <c r="D176" s="59">
        <f aca="true" t="shared" si="68" ref="D176:I176">LOOKUP(D175,LiftareSorterat,Placeringar)</f>
        <v>7</v>
      </c>
      <c r="E176" s="59">
        <f t="shared" si="68"/>
        <v>4</v>
      </c>
      <c r="F176" s="59">
        <f t="shared" si="68"/>
        <v>4</v>
      </c>
      <c r="G176" s="59">
        <f t="shared" si="68"/>
        <v>7</v>
      </c>
      <c r="H176" s="59">
        <f t="shared" si="68"/>
        <v>4</v>
      </c>
      <c r="I176" s="59">
        <f t="shared" si="68"/>
        <v>5</v>
      </c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2.75">
      <c r="A177" s="25"/>
      <c r="B177" s="4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ht="12.75">
      <c r="A178" s="25" t="s">
        <v>38</v>
      </c>
      <c r="B178" s="49" t="s">
        <v>39</v>
      </c>
      <c r="C178" s="39">
        <f aca="true" t="shared" si="69" ref="C178:I178">C169+C162+C175</f>
        <v>145</v>
      </c>
      <c r="D178" s="39">
        <f t="shared" si="69"/>
        <v>335</v>
      </c>
      <c r="E178" s="39">
        <f t="shared" si="69"/>
        <v>195</v>
      </c>
      <c r="F178" s="39">
        <f t="shared" si="69"/>
        <v>85</v>
      </c>
      <c r="G178" s="39">
        <f t="shared" si="69"/>
        <v>330</v>
      </c>
      <c r="H178" s="39">
        <f t="shared" si="69"/>
        <v>275</v>
      </c>
      <c r="I178" s="39">
        <f t="shared" si="69"/>
        <v>250</v>
      </c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2.75">
      <c r="A179" s="25"/>
      <c r="B179" s="49" t="s">
        <v>53</v>
      </c>
      <c r="C179" s="59">
        <f>LOOKUP(C178,PlockTotaltSorterat,Placeringar)</f>
        <v>2</v>
      </c>
      <c r="D179" s="59">
        <f aca="true" t="shared" si="70" ref="D179:I179">LOOKUP(D178,PlockTotaltSorterat,Placeringar)</f>
        <v>7</v>
      </c>
      <c r="E179" s="59">
        <f t="shared" si="70"/>
        <v>3</v>
      </c>
      <c r="F179" s="59">
        <f t="shared" si="70"/>
        <v>1</v>
      </c>
      <c r="G179" s="59">
        <f t="shared" si="70"/>
        <v>6</v>
      </c>
      <c r="H179" s="59">
        <f t="shared" si="70"/>
        <v>5</v>
      </c>
      <c r="I179" s="59">
        <f t="shared" si="70"/>
        <v>4</v>
      </c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 ht="12.75">
      <c r="A180" s="25"/>
      <c r="B180" s="49"/>
      <c r="C180" s="39"/>
      <c r="D180" s="39"/>
      <c r="E180" s="39"/>
      <c r="F180" s="39"/>
      <c r="G180" s="39"/>
      <c r="H180" s="39"/>
      <c r="I180" s="39"/>
      <c r="J180" s="39" t="s">
        <v>12</v>
      </c>
      <c r="K180" s="39"/>
      <c r="L180" s="39"/>
      <c r="M180" s="39"/>
      <c r="N180" s="39"/>
      <c r="O180" s="39"/>
      <c r="P180" s="39"/>
      <c r="Q180" s="39"/>
      <c r="R180" s="39"/>
    </row>
    <row r="181" spans="1:18" ht="12.75">
      <c r="A181" s="25" t="s">
        <v>45</v>
      </c>
      <c r="B181" s="49" t="s">
        <v>121</v>
      </c>
      <c r="C181" s="39">
        <v>0</v>
      </c>
      <c r="D181" s="39">
        <v>5</v>
      </c>
      <c r="E181" s="39">
        <v>-10</v>
      </c>
      <c r="F181" s="39">
        <v>0</v>
      </c>
      <c r="G181" s="39">
        <v>3</v>
      </c>
      <c r="H181" s="39">
        <v>10</v>
      </c>
      <c r="I181" s="39">
        <v>-1</v>
      </c>
      <c r="J181" s="39" t="s">
        <v>12</v>
      </c>
      <c r="K181" s="39"/>
      <c r="L181" s="39"/>
      <c r="M181" s="39"/>
      <c r="N181" s="39"/>
      <c r="O181" s="39"/>
      <c r="P181" s="39"/>
      <c r="Q181" s="39"/>
      <c r="R181" s="39"/>
    </row>
    <row r="182" spans="1:18" ht="12.75">
      <c r="A182" s="25"/>
      <c r="B182" s="4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2.75">
      <c r="A183" s="25"/>
      <c r="B183" s="4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2.75">
      <c r="A184" s="25"/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18" s="13" customFormat="1" ht="12.75">
      <c r="A185" s="35" t="s">
        <v>42</v>
      </c>
      <c r="B185" s="50"/>
      <c r="C185" s="63" t="str">
        <f>C4</f>
        <v>A-Team</v>
      </c>
      <c r="D185" s="63" t="str">
        <f aca="true" t="shared" si="71" ref="D185:I185">D4</f>
        <v>SIHWAK</v>
      </c>
      <c r="E185" s="63" t="str">
        <f t="shared" si="71"/>
        <v>Kör som kör</v>
      </c>
      <c r="F185" s="63" t="str">
        <f t="shared" si="71"/>
        <v>PFD:arna</v>
      </c>
      <c r="G185" s="63" t="str">
        <f t="shared" si="71"/>
        <v>Raptus Rallii</v>
      </c>
      <c r="H185" s="63" t="str">
        <f t="shared" si="71"/>
        <v>Nomen Nescio</v>
      </c>
      <c r="I185" s="63" t="str">
        <f t="shared" si="71"/>
        <v>Ett gäng gamla (h)uvar</v>
      </c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1:18" ht="12.75">
      <c r="A186" s="25" t="s">
        <v>39</v>
      </c>
      <c r="B186" s="38"/>
      <c r="C186" s="39">
        <f aca="true" t="shared" si="72" ref="C186:I186">C181+C178+C154+C119+C134+C137+C141+C128+C125</f>
        <v>552</v>
      </c>
      <c r="D186" s="39">
        <f t="shared" si="72"/>
        <v>976</v>
      </c>
      <c r="E186" s="39">
        <f t="shared" si="72"/>
        <v>558</v>
      </c>
      <c r="F186" s="39">
        <f t="shared" si="72"/>
        <v>226</v>
      </c>
      <c r="G186" s="39">
        <f t="shared" si="72"/>
        <v>799</v>
      </c>
      <c r="H186" s="39">
        <f t="shared" si="72"/>
        <v>694</v>
      </c>
      <c r="I186" s="39">
        <f t="shared" si="72"/>
        <v>687</v>
      </c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s="11" customFormat="1" ht="12.75">
      <c r="A187" s="33" t="s">
        <v>53</v>
      </c>
      <c r="B187" s="49"/>
      <c r="C187" s="59">
        <f>LOOKUP(C186,SlutplaceringSorterat,Placeringar)</f>
        <v>2</v>
      </c>
      <c r="D187" s="59">
        <f aca="true" t="shared" si="73" ref="D187:I187">LOOKUP(D186,SlutplaceringSorterat,Placeringar)</f>
        <v>7</v>
      </c>
      <c r="E187" s="59">
        <f t="shared" si="73"/>
        <v>3</v>
      </c>
      <c r="F187" s="59">
        <f t="shared" si="73"/>
        <v>1</v>
      </c>
      <c r="G187" s="59">
        <f t="shared" si="73"/>
        <v>6</v>
      </c>
      <c r="H187" s="59">
        <f t="shared" si="73"/>
        <v>5</v>
      </c>
      <c r="I187" s="59">
        <f t="shared" si="73"/>
        <v>4</v>
      </c>
      <c r="J187" s="59"/>
      <c r="K187" s="59"/>
      <c r="L187" s="59"/>
      <c r="M187" s="59"/>
      <c r="N187" s="59"/>
      <c r="O187" s="59"/>
      <c r="P187" s="59"/>
      <c r="Q187" s="59"/>
      <c r="R187" s="59"/>
    </row>
    <row r="188" spans="1:18" ht="12.75">
      <c r="A188" s="25"/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25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ht="12.75">
      <c r="A190" s="25"/>
      <c r="B190" s="38"/>
      <c r="C190" s="81" t="s">
        <v>96</v>
      </c>
      <c r="D190" s="82"/>
      <c r="E190" s="83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ht="12.75">
      <c r="A191" s="25"/>
      <c r="B191" s="38"/>
      <c r="C191" s="64" t="s">
        <v>53</v>
      </c>
      <c r="D191" s="65" t="s">
        <v>25</v>
      </c>
      <c r="E191" s="66" t="s">
        <v>39</v>
      </c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s="14" customFormat="1" ht="12.75">
      <c r="A192" s="36"/>
      <c r="B192" s="51">
        <f aca="true" t="shared" si="74" ref="B192:B198">MATCH(A206,C$187:I$187,0)</f>
        <v>4</v>
      </c>
      <c r="C192" s="18">
        <f aca="true" t="shared" si="75" ref="C192:C198">A206</f>
        <v>1</v>
      </c>
      <c r="D192" s="19" t="str">
        <f aca="true" t="shared" si="76" ref="D192:D198">INDEX(B$206:B$212,B192,0)</f>
        <v>PFD:arna</v>
      </c>
      <c r="E192" s="20">
        <f aca="true" t="shared" si="77" ref="E192:E198">INDEX(SlutplaceringSorterat,C192,0)</f>
        <v>226</v>
      </c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1:18" s="14" customFormat="1" ht="12.75">
      <c r="A193" s="36"/>
      <c r="B193" s="51">
        <f t="shared" si="74"/>
        <v>1</v>
      </c>
      <c r="C193" s="18">
        <f t="shared" si="75"/>
        <v>2</v>
      </c>
      <c r="D193" s="19" t="str">
        <f t="shared" si="76"/>
        <v>A-Team</v>
      </c>
      <c r="E193" s="20">
        <f t="shared" si="77"/>
        <v>552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1:18" s="14" customFormat="1" ht="12.75">
      <c r="A194" s="36"/>
      <c r="B194" s="51">
        <f t="shared" si="74"/>
        <v>3</v>
      </c>
      <c r="C194" s="18">
        <f t="shared" si="75"/>
        <v>3</v>
      </c>
      <c r="D194" s="19" t="str">
        <f t="shared" si="76"/>
        <v>Kör som kör</v>
      </c>
      <c r="E194" s="20">
        <f t="shared" si="77"/>
        <v>558</v>
      </c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1:18" s="14" customFormat="1" ht="22.5">
      <c r="A195" s="36"/>
      <c r="B195" s="51">
        <f t="shared" si="74"/>
        <v>7</v>
      </c>
      <c r="C195" s="18">
        <f t="shared" si="75"/>
        <v>4</v>
      </c>
      <c r="D195" s="19" t="str">
        <f t="shared" si="76"/>
        <v>Ett gäng gamla (h)uvar</v>
      </c>
      <c r="E195" s="20">
        <f t="shared" si="77"/>
        <v>687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s="14" customFormat="1" ht="12.75">
      <c r="A196" s="36"/>
      <c r="B196" s="51">
        <f t="shared" si="74"/>
        <v>6</v>
      </c>
      <c r="C196" s="18">
        <f t="shared" si="75"/>
        <v>5</v>
      </c>
      <c r="D196" s="19" t="str">
        <f t="shared" si="76"/>
        <v>Nomen Nescio</v>
      </c>
      <c r="E196" s="20">
        <f t="shared" si="77"/>
        <v>694</v>
      </c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 s="14" customFormat="1" ht="12.75">
      <c r="A197" s="36"/>
      <c r="B197" s="51">
        <f t="shared" si="74"/>
        <v>5</v>
      </c>
      <c r="C197" s="18">
        <f t="shared" si="75"/>
        <v>6</v>
      </c>
      <c r="D197" s="19" t="str">
        <f t="shared" si="76"/>
        <v>Raptus Rallii</v>
      </c>
      <c r="E197" s="20">
        <f t="shared" si="77"/>
        <v>799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 s="14" customFormat="1" ht="12.75">
      <c r="A198" s="36"/>
      <c r="B198" s="51">
        <f t="shared" si="74"/>
        <v>2</v>
      </c>
      <c r="C198" s="18">
        <f t="shared" si="75"/>
        <v>7</v>
      </c>
      <c r="D198" s="19" t="str">
        <f t="shared" si="76"/>
        <v>SIHWAK</v>
      </c>
      <c r="E198" s="20">
        <f t="shared" si="77"/>
        <v>976</v>
      </c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s="14" customFormat="1" ht="12.75">
      <c r="A199" s="37"/>
      <c r="B199" s="36"/>
      <c r="C199" s="67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1:18" s="14" customFormat="1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1:18" s="14" customFormat="1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 s="15" customFormat="1" ht="12.75">
      <c r="A202" s="36" t="s">
        <v>12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</row>
    <row r="203" spans="1:18" s="12" customFormat="1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10" customFormat="1" ht="12.75">
      <c r="A204" s="30" t="s">
        <v>91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ht="12.75">
      <c r="A205" s="25" t="s">
        <v>57</v>
      </c>
      <c r="B205" s="25" t="s">
        <v>92</v>
      </c>
      <c r="C205" s="38" t="s">
        <v>58</v>
      </c>
      <c r="D205" s="39" t="s">
        <v>14</v>
      </c>
      <c r="E205" s="39" t="s">
        <v>2</v>
      </c>
      <c r="F205" s="39" t="s">
        <v>31</v>
      </c>
      <c r="G205" s="39" t="s">
        <v>44</v>
      </c>
      <c r="H205" s="39" t="s">
        <v>43</v>
      </c>
      <c r="I205" s="39" t="s">
        <v>59</v>
      </c>
      <c r="J205" s="39" t="s">
        <v>60</v>
      </c>
      <c r="K205" s="39" t="s">
        <v>61</v>
      </c>
      <c r="L205" s="39" t="s">
        <v>62</v>
      </c>
      <c r="M205" s="39" t="s">
        <v>36</v>
      </c>
      <c r="N205" s="39" t="s">
        <v>38</v>
      </c>
      <c r="O205" s="39" t="s">
        <v>11</v>
      </c>
      <c r="P205" s="39" t="s">
        <v>89</v>
      </c>
      <c r="Q205" s="39" t="s">
        <v>66</v>
      </c>
      <c r="R205" s="39"/>
    </row>
    <row r="206" spans="1:18" ht="12.75">
      <c r="A206" s="25">
        <v>1</v>
      </c>
      <c r="B206" s="25" t="str">
        <f>$C$4</f>
        <v>A-Team</v>
      </c>
      <c r="C206" s="38">
        <f>SMALL(PrickarTotalt,A206)</f>
        <v>226</v>
      </c>
      <c r="D206" s="39">
        <f>SMALL(PrickarLunchlekar,A206)</f>
        <v>9</v>
      </c>
      <c r="E206" s="39">
        <f>SMALL(PrickarManöverprov,A206)</f>
        <v>0</v>
      </c>
      <c r="F206" s="39">
        <f>SMALL(PrickarTid,A206)</f>
        <v>46</v>
      </c>
      <c r="G206" s="39">
        <f>SMALL(PrickarFörklaringar,A206)</f>
        <v>21</v>
      </c>
      <c r="H206" s="39">
        <f>SMALL(PrickarKod,A206)</f>
        <v>0</v>
      </c>
      <c r="I206" s="39">
        <f>SMALL(PrickarKoordinatklipp,A206)</f>
        <v>0</v>
      </c>
      <c r="J206" s="39">
        <f>SMALL(PrickarLösningsklipp,A206)</f>
        <v>20</v>
      </c>
      <c r="K206" s="39">
        <f>SMALL(PrickarKlippTotalt,A206)</f>
        <v>55</v>
      </c>
      <c r="L206" s="39">
        <f>SMALL(PrickarFotoplock,A206)</f>
        <v>60</v>
      </c>
      <c r="M206" s="39">
        <f>SMALL(PrickarBokstavsplock,A206)</f>
        <v>25</v>
      </c>
      <c r="N206" s="39">
        <f>SMALL(PrickarPlockTotalt,A206)</f>
        <v>85</v>
      </c>
      <c r="O206" s="68">
        <f>SMALL(Rebuspoäng,A206)</f>
        <v>0.36500000000000005</v>
      </c>
      <c r="P206" s="39">
        <f>SMALL(PrickarPyssel,A206)</f>
        <v>10</v>
      </c>
      <c r="Q206" s="39">
        <f>SMALL(PrickarLiftare,A206)</f>
        <v>0</v>
      </c>
      <c r="R206" s="39"/>
    </row>
    <row r="207" spans="1:18" ht="12.75">
      <c r="A207" s="25">
        <v>2</v>
      </c>
      <c r="B207" s="25" t="str">
        <f>$D$4</f>
        <v>SIHWAK</v>
      </c>
      <c r="C207" s="38">
        <f aca="true" t="shared" si="78" ref="C207:C212">SMALL(PrickarTotalt,A207)</f>
        <v>552</v>
      </c>
      <c r="D207" s="39">
        <f aca="true" t="shared" si="79" ref="D207:D212">SMALL(PrickarLunchlekar,A207)</f>
        <v>9</v>
      </c>
      <c r="E207" s="39">
        <f aca="true" t="shared" si="80" ref="E207:E212">SMALL(PrickarManöverprov,A207)</f>
        <v>2</v>
      </c>
      <c r="F207" s="39">
        <f aca="true" t="shared" si="81" ref="F207:F212">SMALL(PrickarTid,A207)</f>
        <v>68</v>
      </c>
      <c r="G207" s="39">
        <f aca="true" t="shared" si="82" ref="G207:G212">SMALL(PrickarFörklaringar,A207)</f>
        <v>46</v>
      </c>
      <c r="H207" s="39">
        <f aca="true" t="shared" si="83" ref="H207:H212">SMALL(PrickarKod,A207)</f>
        <v>0</v>
      </c>
      <c r="I207" s="39">
        <f aca="true" t="shared" si="84" ref="I207:I212">SMALL(PrickarKoordinatklipp,A207)</f>
        <v>5</v>
      </c>
      <c r="J207" s="39">
        <f aca="true" t="shared" si="85" ref="J207:J212">SMALL(PrickarLösningsklipp,A207)</f>
        <v>80</v>
      </c>
      <c r="K207" s="39">
        <f aca="true" t="shared" si="86" ref="K207:K212">SMALL(PrickarKlippTotalt,A207)</f>
        <v>140</v>
      </c>
      <c r="L207" s="39">
        <f aca="true" t="shared" si="87" ref="L207:L212">SMALL(PrickarFotoplock,A207)</f>
        <v>80</v>
      </c>
      <c r="M207" s="39">
        <f aca="true" t="shared" si="88" ref="M207:M212">SMALL(PrickarBokstavsplock,A207)</f>
        <v>65</v>
      </c>
      <c r="N207" s="39">
        <f aca="true" t="shared" si="89" ref="N207:N212">SMALL(PrickarPlockTotalt,A207)</f>
        <v>145</v>
      </c>
      <c r="O207" s="68">
        <f aca="true" t="shared" si="90" ref="O207:O212">SMALL(Rebuspoäng,A207)</f>
        <v>0.47375</v>
      </c>
      <c r="P207" s="39">
        <f aca="true" t="shared" si="91" ref="P207:P212">SMALL(PrickarPyssel,A207)</f>
        <v>14</v>
      </c>
      <c r="Q207" s="39">
        <f aca="true" t="shared" si="92" ref="Q207:Q212">SMALL(PrickarLiftare,A207)</f>
        <v>0</v>
      </c>
      <c r="R207" s="39"/>
    </row>
    <row r="208" spans="1:18" ht="12.75">
      <c r="A208" s="25">
        <v>3</v>
      </c>
      <c r="B208" s="25" t="str">
        <f>$E$4</f>
        <v>Kör som kör</v>
      </c>
      <c r="C208" s="38">
        <f t="shared" si="78"/>
        <v>558</v>
      </c>
      <c r="D208" s="39">
        <f t="shared" si="79"/>
        <v>10</v>
      </c>
      <c r="E208" s="39">
        <f t="shared" si="80"/>
        <v>4</v>
      </c>
      <c r="F208" s="39">
        <f t="shared" si="81"/>
        <v>99</v>
      </c>
      <c r="G208" s="39">
        <f t="shared" si="82"/>
        <v>46</v>
      </c>
      <c r="H208" s="39">
        <f t="shared" si="83"/>
        <v>0</v>
      </c>
      <c r="I208" s="39">
        <f t="shared" si="84"/>
        <v>5</v>
      </c>
      <c r="J208" s="39">
        <f t="shared" si="85"/>
        <v>100</v>
      </c>
      <c r="K208" s="39">
        <f t="shared" si="86"/>
        <v>145</v>
      </c>
      <c r="L208" s="39">
        <f t="shared" si="87"/>
        <v>120</v>
      </c>
      <c r="M208" s="39">
        <f t="shared" si="88"/>
        <v>65</v>
      </c>
      <c r="N208" s="39">
        <f t="shared" si="89"/>
        <v>195</v>
      </c>
      <c r="O208" s="68">
        <f t="shared" si="90"/>
        <v>0.60875</v>
      </c>
      <c r="P208" s="39">
        <f t="shared" si="91"/>
        <v>15</v>
      </c>
      <c r="Q208" s="39">
        <f t="shared" si="92"/>
        <v>0</v>
      </c>
      <c r="R208" s="39"/>
    </row>
    <row r="209" spans="1:18" ht="12.75">
      <c r="A209" s="25">
        <v>4</v>
      </c>
      <c r="B209" s="25" t="str">
        <f>$F$4</f>
        <v>PFD:arna</v>
      </c>
      <c r="C209" s="38">
        <f t="shared" si="78"/>
        <v>687</v>
      </c>
      <c r="D209" s="39">
        <f t="shared" si="79"/>
        <v>11</v>
      </c>
      <c r="E209" s="39">
        <f t="shared" si="80"/>
        <v>6</v>
      </c>
      <c r="F209" s="39">
        <f t="shared" si="81"/>
        <v>114</v>
      </c>
      <c r="G209" s="39">
        <f t="shared" si="82"/>
        <v>81</v>
      </c>
      <c r="H209" s="39">
        <f t="shared" si="83"/>
        <v>20</v>
      </c>
      <c r="I209" s="39">
        <f t="shared" si="84"/>
        <v>35</v>
      </c>
      <c r="J209" s="39">
        <f t="shared" si="85"/>
        <v>120</v>
      </c>
      <c r="K209" s="39">
        <f t="shared" si="86"/>
        <v>155</v>
      </c>
      <c r="L209" s="39">
        <f t="shared" si="87"/>
        <v>130</v>
      </c>
      <c r="M209" s="39">
        <f t="shared" si="88"/>
        <v>75</v>
      </c>
      <c r="N209" s="39">
        <f t="shared" si="89"/>
        <v>250</v>
      </c>
      <c r="O209" s="68">
        <f t="shared" si="90"/>
        <v>0.6225</v>
      </c>
      <c r="P209" s="39">
        <f t="shared" si="91"/>
        <v>18</v>
      </c>
      <c r="Q209" s="39">
        <f t="shared" si="92"/>
        <v>0</v>
      </c>
      <c r="R209" s="39"/>
    </row>
    <row r="210" spans="1:18" ht="12.75">
      <c r="A210" s="25">
        <v>5</v>
      </c>
      <c r="B210" s="25" t="str">
        <f>$G$4</f>
        <v>Raptus Rallii</v>
      </c>
      <c r="C210" s="38">
        <f t="shared" si="78"/>
        <v>694</v>
      </c>
      <c r="D210" s="39">
        <f t="shared" si="79"/>
        <v>14</v>
      </c>
      <c r="E210" s="39">
        <f t="shared" si="80"/>
        <v>8</v>
      </c>
      <c r="F210" s="39">
        <f t="shared" si="81"/>
        <v>146</v>
      </c>
      <c r="G210" s="39">
        <f t="shared" si="82"/>
        <v>84</v>
      </c>
      <c r="H210" s="39">
        <f t="shared" si="83"/>
        <v>20</v>
      </c>
      <c r="I210" s="39">
        <f t="shared" si="84"/>
        <v>35</v>
      </c>
      <c r="J210" s="39">
        <f t="shared" si="85"/>
        <v>140</v>
      </c>
      <c r="K210" s="39">
        <f t="shared" si="86"/>
        <v>155</v>
      </c>
      <c r="L210" s="39">
        <f t="shared" si="87"/>
        <v>150</v>
      </c>
      <c r="M210" s="39">
        <f t="shared" si="88"/>
        <v>145</v>
      </c>
      <c r="N210" s="39">
        <f t="shared" si="89"/>
        <v>275</v>
      </c>
      <c r="O210" s="68">
        <f t="shared" si="90"/>
        <v>0.6912499999999999</v>
      </c>
      <c r="P210" s="39">
        <f t="shared" si="91"/>
        <v>24</v>
      </c>
      <c r="Q210" s="39">
        <f t="shared" si="92"/>
        <v>5</v>
      </c>
      <c r="R210" s="39"/>
    </row>
    <row r="211" spans="1:18" ht="12.75">
      <c r="A211" s="25">
        <v>6</v>
      </c>
      <c r="B211" s="25" t="str">
        <f>$H$4</f>
        <v>Nomen Nescio</v>
      </c>
      <c r="C211" s="38">
        <f t="shared" si="78"/>
        <v>799</v>
      </c>
      <c r="D211" s="39">
        <f t="shared" si="79"/>
        <v>19</v>
      </c>
      <c r="E211" s="39">
        <f t="shared" si="80"/>
        <v>10</v>
      </c>
      <c r="F211" s="39">
        <f t="shared" si="81"/>
        <v>164</v>
      </c>
      <c r="G211" s="39">
        <f t="shared" si="82"/>
        <v>98</v>
      </c>
      <c r="H211" s="39">
        <f t="shared" si="83"/>
        <v>40</v>
      </c>
      <c r="I211" s="39">
        <f t="shared" si="84"/>
        <v>55</v>
      </c>
      <c r="J211" s="39">
        <f t="shared" si="85"/>
        <v>220</v>
      </c>
      <c r="K211" s="39">
        <f t="shared" si="86"/>
        <v>220</v>
      </c>
      <c r="L211" s="39">
        <f t="shared" si="87"/>
        <v>170</v>
      </c>
      <c r="M211" s="39">
        <f t="shared" si="88"/>
        <v>155</v>
      </c>
      <c r="N211" s="39">
        <f t="shared" si="89"/>
        <v>330</v>
      </c>
      <c r="O211" s="68">
        <f t="shared" si="90"/>
        <v>0.69125</v>
      </c>
      <c r="P211" s="39">
        <f t="shared" si="91"/>
        <v>31</v>
      </c>
      <c r="Q211" s="39">
        <f t="shared" si="92"/>
        <v>10</v>
      </c>
      <c r="R211" s="39"/>
    </row>
    <row r="212" spans="1:18" ht="12.75">
      <c r="A212" s="25">
        <v>7</v>
      </c>
      <c r="B212" s="25" t="str">
        <f>$I$4</f>
        <v>Ett gäng gamla (h)uvar</v>
      </c>
      <c r="C212" s="38">
        <f t="shared" si="78"/>
        <v>976</v>
      </c>
      <c r="D212" s="39">
        <f t="shared" si="79"/>
        <v>23</v>
      </c>
      <c r="E212" s="39">
        <f t="shared" si="80"/>
        <v>12</v>
      </c>
      <c r="F212" s="39">
        <f t="shared" si="81"/>
        <v>172</v>
      </c>
      <c r="G212" s="39">
        <f t="shared" si="82"/>
        <v>144</v>
      </c>
      <c r="H212" s="39">
        <f t="shared" si="83"/>
        <v>80</v>
      </c>
      <c r="I212" s="39">
        <f t="shared" si="84"/>
        <v>60</v>
      </c>
      <c r="J212" s="39">
        <f t="shared" si="85"/>
        <v>220</v>
      </c>
      <c r="K212" s="39">
        <f t="shared" si="86"/>
        <v>225</v>
      </c>
      <c r="L212" s="39">
        <f t="shared" si="87"/>
        <v>180</v>
      </c>
      <c r="M212" s="39">
        <f t="shared" si="88"/>
        <v>170</v>
      </c>
      <c r="N212" s="39">
        <f t="shared" si="89"/>
        <v>335</v>
      </c>
      <c r="O212" s="68">
        <f t="shared" si="90"/>
        <v>0.8787499999999999</v>
      </c>
      <c r="P212" s="39">
        <f t="shared" si="91"/>
        <v>37</v>
      </c>
      <c r="Q212" s="39">
        <f t="shared" si="92"/>
        <v>10</v>
      </c>
      <c r="R212" s="39"/>
    </row>
    <row r="213" spans="1:18" ht="12.75">
      <c r="A213" s="25"/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ht="12.75">
      <c r="A214" s="25" t="s">
        <v>63</v>
      </c>
      <c r="B214" s="23"/>
      <c r="C214" s="25" t="s">
        <v>56</v>
      </c>
      <c r="D214" s="39" t="s">
        <v>94</v>
      </c>
      <c r="E214" s="59" t="s">
        <v>90</v>
      </c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5" ht="12.75">
      <c r="A215" s="8" t="s">
        <v>64</v>
      </c>
      <c r="B215" s="84" t="s">
        <v>74</v>
      </c>
      <c r="C215" s="7" t="s">
        <v>99</v>
      </c>
      <c r="E215" s="11"/>
    </row>
    <row r="216" spans="1:5" ht="12.75">
      <c r="A216" s="8" t="s">
        <v>68</v>
      </c>
      <c r="B216" s="84" t="s">
        <v>81</v>
      </c>
      <c r="C216" s="7" t="s">
        <v>100</v>
      </c>
      <c r="E216" s="11"/>
    </row>
    <row r="217" spans="1:5" ht="12.75">
      <c r="A217" s="8" t="s">
        <v>69</v>
      </c>
      <c r="B217" s="84" t="s">
        <v>85</v>
      </c>
      <c r="C217" s="7" t="s">
        <v>102</v>
      </c>
      <c r="E217" s="11"/>
    </row>
    <row r="218" spans="1:6" ht="12.75">
      <c r="A218" s="8" t="s">
        <v>73</v>
      </c>
      <c r="B218" s="84" t="s">
        <v>86</v>
      </c>
      <c r="C218" s="7" t="s">
        <v>98</v>
      </c>
      <c r="E218" s="11"/>
      <c r="F218" s="8" t="s">
        <v>122</v>
      </c>
    </row>
    <row r="219" spans="1:5" ht="12.75">
      <c r="A219" s="39" t="s">
        <v>93</v>
      </c>
      <c r="B219" s="23" t="s">
        <v>76</v>
      </c>
      <c r="C219" s="7" t="str">
        <f aca="true" t="shared" si="93" ref="C219:C227">LOOKUP(E219,Placeringar,Lag_I_Nummerordning)</f>
        <v>SIHWAK</v>
      </c>
      <c r="D219" s="8">
        <f>LARGE(PrickarTotalt,1)</f>
        <v>976</v>
      </c>
      <c r="E219" s="11">
        <f>MATCH(D219,PrickarTotalt,0)</f>
        <v>2</v>
      </c>
    </row>
    <row r="220" spans="1:5" ht="12.75">
      <c r="A220" s="39" t="s">
        <v>71</v>
      </c>
      <c r="B220" s="23" t="s">
        <v>77</v>
      </c>
      <c r="C220" s="7" t="str">
        <f t="shared" si="93"/>
        <v>PFD:arna</v>
      </c>
      <c r="D220" s="8">
        <f>SMALL(FotoplockSorterat,1)</f>
        <v>60</v>
      </c>
      <c r="E220" s="11">
        <f>MATCH(D220,PrickarFotoplock,0)</f>
        <v>4</v>
      </c>
    </row>
    <row r="221" spans="1:5" ht="12.75">
      <c r="A221" s="39" t="s">
        <v>72</v>
      </c>
      <c r="B221" s="23" t="s">
        <v>78</v>
      </c>
      <c r="C221" s="7" t="str">
        <f t="shared" si="93"/>
        <v>PFD:arna</v>
      </c>
      <c r="D221" s="8">
        <f>SMALL(BokstavsplockSorterat,1)</f>
        <v>25</v>
      </c>
      <c r="E221" s="11">
        <f>MATCH(D221,PrickarBokstavsplock,0)</f>
        <v>4</v>
      </c>
    </row>
    <row r="222" spans="1:5" ht="12.75">
      <c r="A222" s="39" t="s">
        <v>79</v>
      </c>
      <c r="B222" s="23" t="s">
        <v>65</v>
      </c>
      <c r="C222" s="7" t="str">
        <f t="shared" si="93"/>
        <v>Raptus Rallii</v>
      </c>
      <c r="D222" s="8">
        <f>LARGE(KlippTotaltSorterat,1)</f>
        <v>225</v>
      </c>
      <c r="E222" s="11">
        <f>MATCH(D222,PrickarKlippTotalt,0)</f>
        <v>5</v>
      </c>
    </row>
    <row r="223" spans="1:5" ht="12.75">
      <c r="A223" s="39" t="s">
        <v>67</v>
      </c>
      <c r="B223" s="23" t="s">
        <v>80</v>
      </c>
      <c r="C223" s="7" t="str">
        <f t="shared" si="93"/>
        <v>SIHWAK</v>
      </c>
      <c r="D223" s="8">
        <f>LARGE(PlockTotaltSorterat,1)</f>
        <v>335</v>
      </c>
      <c r="E223" s="11">
        <f>MATCH(D223,PrickarPlockTotalt,0)</f>
        <v>2</v>
      </c>
    </row>
    <row r="224" spans="1:5" ht="12.75">
      <c r="A224" s="39" t="s">
        <v>83</v>
      </c>
      <c r="B224" s="23" t="s">
        <v>84</v>
      </c>
      <c r="C224" s="7" t="str">
        <f t="shared" si="93"/>
        <v>PFD:arna</v>
      </c>
      <c r="D224" s="8">
        <f>SMALL(ManöverprovSorterat,1)</f>
        <v>0</v>
      </c>
      <c r="E224" s="11">
        <f>MATCH(D224,PrickarManöverprov,0)</f>
        <v>4</v>
      </c>
    </row>
    <row r="225" spans="1:5" ht="12.75">
      <c r="A225" s="39" t="s">
        <v>82</v>
      </c>
      <c r="B225" s="23" t="s">
        <v>75</v>
      </c>
      <c r="C225" s="7" t="str">
        <f t="shared" si="93"/>
        <v>A-Team</v>
      </c>
      <c r="D225" s="8">
        <f>LARGE(TidsprickarSorterat,1)</f>
        <v>172</v>
      </c>
      <c r="E225" s="11">
        <f>MATCH(D225,PrickarTid,0)</f>
        <v>1</v>
      </c>
    </row>
    <row r="226" spans="1:5" ht="12.75">
      <c r="A226" s="39" t="s">
        <v>70</v>
      </c>
      <c r="B226" s="23" t="s">
        <v>87</v>
      </c>
      <c r="C226" s="7" t="str">
        <f t="shared" si="93"/>
        <v>PFD:arna</v>
      </c>
      <c r="D226" s="8">
        <f>SMALL(SlutplaceringSorterat,1)</f>
        <v>226</v>
      </c>
      <c r="E226" s="11">
        <f>MATCH(D226,PrickarTotalt,0)</f>
        <v>4</v>
      </c>
    </row>
    <row r="227" spans="1:5" ht="12.75">
      <c r="A227" s="39" t="s">
        <v>95</v>
      </c>
      <c r="B227" s="23" t="s">
        <v>120</v>
      </c>
      <c r="C227" s="7" t="str">
        <f t="shared" si="93"/>
        <v>PFD:arna</v>
      </c>
      <c r="D227" s="8">
        <f>SMALL(FörklaringarSorterat,1)</f>
        <v>21</v>
      </c>
      <c r="E227" s="11">
        <f>MATCH(D227,PrickarFörklaringar,0)</f>
        <v>4</v>
      </c>
    </row>
    <row r="228" spans="1:2" ht="12.75">
      <c r="A228" s="39"/>
      <c r="B228" s="38"/>
    </row>
    <row r="229" spans="1:2" ht="12.75">
      <c r="A229" s="39"/>
      <c r="B229" s="38"/>
    </row>
  </sheetData>
  <mergeCells count="1">
    <mergeCell ref="C190:E190"/>
  </mergeCells>
  <conditionalFormatting sqref="C179:I179 C90:I90 C129:I129 C135:I135 C143:I143 C148:I148 C152:I152 C155:I155 C163:I163 C170:I171 C187:I187 C176:I176 C139:I139 C120:I122 C126:I12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dataValidations count="3">
    <dataValidation type="whole" allowBlank="1" showInputMessage="1" showErrorMessage="1" errorTitle="Felaktiga förklaringsprickar" error="Förklaringsprickarna måste vara mellan 0 och 10." sqref="C34:I34 C30:I30 C26:I26 C22:I22 C14:I14 C38:I38 C46:I46 C42:I42 C10:I10 C74:I74 C50:I50 C82:I82 C54:I54 C58:I58 C62:I62 C66:I66 C70:I70 C78:I78 C86:I86 C18:I18">
      <formula1>0</formula1>
      <formula2>10</formula2>
    </dataValidation>
    <dataValidation type="custom" allowBlank="1" showErrorMessage="1" errorTitle="Fel antal klipp-prickar" error="Klipp-prickarna måste vara 0, 5, eller 20." sqref="C9:I9 C37:I37 C13:I13 C17:I17 C21:I21 C25:I25 C29:I29 C33:I33 C45:I45 C49:I49 C53:I53 C57:I57 C61:I61 C65:I65 C69:I69 C73:I73 C77:I77 C81:I81 C85:I85 C41:I41">
      <formula1>OR(C9=0,C9=5,C9=20)</formula1>
    </dataValidation>
    <dataValidation type="custom" allowBlank="1" showInputMessage="1" showErrorMessage="1" errorTitle="Felaktiga kod-prickar" error="Kod-prickarna måste vara 0 eller 20." sqref="C11:I11 C15:I15 C23:I23 C27:I27 C31:I31 C35:I35 C39:I39 C43:I43 C47:I47 C51:I51 C55:I55 C59:I59 C63:I63 C67:I67 C71:I71 C75:I75 C79:I79 C83:I83 C87:I87 C19:I19">
      <formula1>OR(C11=0,C11=20)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1200" verticalDpi="1200" orientation="portrait" paperSize="9" scale="63" r:id="rId1"/>
  <rowBreaks count="3" manualBreakCount="3">
    <brk id="80" max="8" man="1"/>
    <brk id="188" max="8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larssa</cp:lastModifiedBy>
  <cp:lastPrinted>2003-10-04T15:56:32Z</cp:lastPrinted>
  <dcterms:created xsi:type="dcterms:W3CDTF">2000-09-07T12:32:20Z</dcterms:created>
  <dcterms:modified xsi:type="dcterms:W3CDTF">2003-10-05T19:13:26Z</dcterms:modified>
  <cp:category/>
  <cp:version/>
  <cp:contentType/>
  <cp:contentStatus/>
</cp:coreProperties>
</file>